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andeeppande\Desktop\"/>
    </mc:Choice>
  </mc:AlternateContent>
  <xr:revisionPtr revIDLastSave="0" documentId="13_ncr:1_{AF2AB10B-CFD3-41B2-8E01-BBBBC114F7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1" sheetId="19" r:id="rId1"/>
    <sheet name="L2" sheetId="11" r:id="rId2"/>
    <sheet name="L3" sheetId="27" r:id="rId3"/>
    <sheet name="L4" sheetId="5" r:id="rId4"/>
    <sheet name="L5" sheetId="7" r:id="rId5"/>
    <sheet name="L6" sheetId="8" r:id="rId6"/>
    <sheet name="L7" sheetId="6" r:id="rId7"/>
    <sheet name="L10" sheetId="22" r:id="rId8"/>
    <sheet name="L11" sheetId="23" r:id="rId9"/>
    <sheet name="L15" sheetId="18" r:id="rId10"/>
    <sheet name="L17" sheetId="17" r:id="rId11"/>
    <sheet name="L22 Persistency Ratio" sheetId="28" r:id="rId12"/>
    <sheet name="L32" sheetId="9" r:id="rId13"/>
    <sheet name="L37FPI" sheetId="1" r:id="rId14"/>
    <sheet name="L37Lives" sheetId="2" r:id="rId15"/>
    <sheet name="L38 FPI" sheetId="4" r:id="rId16"/>
    <sheet name="L38 NOP" sheetId="3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" i="19" l="1"/>
  <c r="E18" i="19"/>
  <c r="BA41" i="18"/>
  <c r="BA39" i="18"/>
  <c r="BA37" i="18"/>
  <c r="BA35" i="18"/>
  <c r="BA31" i="18"/>
  <c r="BA30" i="18"/>
  <c r="BA29" i="18"/>
  <c r="BA27" i="18"/>
  <c r="BA26" i="18"/>
  <c r="BA18" i="18"/>
  <c r="BA15" i="18"/>
  <c r="BA12" i="18"/>
  <c r="BA11" i="18"/>
  <c r="BA10" i="18"/>
  <c r="BA7" i="18"/>
  <c r="BA6" i="18"/>
  <c r="AZ41" i="18"/>
  <c r="AZ39" i="18"/>
  <c r="AZ37" i="18"/>
  <c r="AZ35" i="18"/>
  <c r="AZ31" i="18"/>
  <c r="AZ30" i="18"/>
  <c r="AZ29" i="18"/>
  <c r="AZ27" i="18"/>
  <c r="AZ26" i="18"/>
  <c r="AZ21" i="18"/>
  <c r="AZ20" i="18"/>
  <c r="AZ18" i="18"/>
  <c r="AZ15" i="18"/>
  <c r="AZ12" i="18"/>
  <c r="AZ11" i="18"/>
  <c r="AZ10" i="18"/>
  <c r="AZ7" i="18"/>
  <c r="AZ6" i="18"/>
  <c r="X7" i="22"/>
  <c r="AU68" i="27"/>
  <c r="AU21" i="11"/>
  <c r="AV19" i="19"/>
  <c r="AV17" i="19"/>
  <c r="AS68" i="27"/>
  <c r="AW68" i="27" s="1"/>
  <c r="BA68" i="27" s="1"/>
  <c r="AS18" i="11"/>
  <c r="AS26" i="11" s="1"/>
  <c r="AI19" i="19"/>
  <c r="AJ19" i="19"/>
  <c r="AR19" i="19"/>
  <c r="AQ32" i="27"/>
  <c r="AW32" i="27" s="1"/>
  <c r="BA32" i="27" s="1"/>
  <c r="AQ36" i="8"/>
  <c r="AQ39" i="8"/>
  <c r="AQ19" i="18"/>
  <c r="AQ12" i="1"/>
  <c r="AT42" i="18"/>
  <c r="AT38" i="18"/>
  <c r="AT32" i="18"/>
  <c r="AT25" i="18"/>
  <c r="AT22" i="18"/>
  <c r="AT19" i="18"/>
  <c r="AT13" i="18"/>
  <c r="AR32" i="18"/>
  <c r="AR25" i="18"/>
  <c r="AR22" i="18"/>
  <c r="AR19" i="18"/>
  <c r="AR13" i="18"/>
  <c r="AP25" i="18"/>
  <c r="AP13" i="18"/>
  <c r="AT68" i="27"/>
  <c r="AX68" i="27"/>
  <c r="AY68" i="27"/>
  <c r="AY36" i="8"/>
  <c r="AY39" i="8"/>
  <c r="AY20" i="18"/>
  <c r="AX20" i="18"/>
  <c r="AX10" i="18"/>
  <c r="AX13" i="18"/>
  <c r="AY10" i="18"/>
  <c r="AY13" i="18" s="1"/>
  <c r="AY22" i="18" s="1"/>
  <c r="AO36" i="8"/>
  <c r="AO39" i="8"/>
  <c r="AR68" i="27"/>
  <c r="AO68" i="27"/>
  <c r="AN68" i="27"/>
  <c r="AK18" i="11"/>
  <c r="AK21" i="11"/>
  <c r="AK36" i="8"/>
  <c r="AK39" i="8"/>
  <c r="AK8" i="8"/>
  <c r="AJ32" i="18"/>
  <c r="AJ25" i="18"/>
  <c r="AJ22" i="18"/>
  <c r="AJ19" i="18"/>
  <c r="AJ13" i="18"/>
  <c r="AH25" i="18"/>
  <c r="AH22" i="18"/>
  <c r="AH42" i="18" s="1"/>
  <c r="AH19" i="18"/>
  <c r="AH13" i="18"/>
  <c r="AH32" i="18" s="1"/>
  <c r="AI18" i="11"/>
  <c r="AH21" i="11"/>
  <c r="AI21" i="11"/>
  <c r="AG21" i="11"/>
  <c r="AG36" i="8"/>
  <c r="Q12" i="22"/>
  <c r="Q14" i="22" s="1"/>
  <c r="AF9" i="18"/>
  <c r="AF22" i="18" s="1"/>
  <c r="AD19" i="18"/>
  <c r="AD25" i="18"/>
  <c r="AD22" i="18"/>
  <c r="AD13" i="18"/>
  <c r="AD32" i="18" s="1"/>
  <c r="AD36" i="8"/>
  <c r="AD39" i="8" s="1"/>
  <c r="AE36" i="8"/>
  <c r="AD27" i="27"/>
  <c r="AE40" i="11"/>
  <c r="AC17" i="19"/>
  <c r="AD19" i="19"/>
  <c r="AC21" i="11"/>
  <c r="N14" i="22"/>
  <c r="Z25" i="18"/>
  <c r="Z22" i="18"/>
  <c r="Z19" i="18"/>
  <c r="AA36" i="8"/>
  <c r="Z17" i="19"/>
  <c r="Z19" i="19"/>
  <c r="Y21" i="11"/>
  <c r="Y18" i="11"/>
  <c r="Y13" i="11"/>
  <c r="Y67" i="27"/>
  <c r="Y62" i="27"/>
  <c r="X67" i="27"/>
  <c r="X62" i="27"/>
  <c r="Y36" i="8"/>
  <c r="Y11" i="1"/>
  <c r="Y11" i="2"/>
  <c r="X57" i="19"/>
  <c r="AX57" i="19" s="1"/>
  <c r="BB57" i="19" s="1"/>
  <c r="V52" i="27"/>
  <c r="V13" i="11"/>
  <c r="W13" i="11"/>
  <c r="S68" i="27"/>
  <c r="R68" i="27"/>
  <c r="S28" i="27"/>
  <c r="R28" i="27"/>
  <c r="AV28" i="27" s="1"/>
  <c r="AZ28" i="27" s="1"/>
  <c r="S16" i="27"/>
  <c r="AW16" i="27" s="1"/>
  <c r="BA16" i="27" s="1"/>
  <c r="R16" i="27"/>
  <c r="AV16" i="27" s="1"/>
  <c r="AZ16" i="27" s="1"/>
  <c r="V57" i="19"/>
  <c r="U31" i="11"/>
  <c r="U18" i="11"/>
  <c r="U13" i="11"/>
  <c r="T13" i="11"/>
  <c r="T26" i="11"/>
  <c r="AX36" i="8"/>
  <c r="AX39" i="8" s="1"/>
  <c r="AT33" i="8"/>
  <c r="AT31" i="8"/>
  <c r="AJ36" i="8"/>
  <c r="AJ25" i="8"/>
  <c r="AJ8" i="8"/>
  <c r="AF36" i="8"/>
  <c r="AF26" i="8"/>
  <c r="AF39" i="8"/>
  <c r="Z36" i="8"/>
  <c r="Z9" i="8"/>
  <c r="X36" i="8"/>
  <c r="AT13" i="11"/>
  <c r="AR21" i="11"/>
  <c r="AR13" i="11"/>
  <c r="AP13" i="11"/>
  <c r="AJ21" i="11"/>
  <c r="AJ26" i="11" s="1"/>
  <c r="AJ13" i="11"/>
  <c r="AF21" i="11"/>
  <c r="AF13" i="11"/>
  <c r="AD21" i="11"/>
  <c r="AB13" i="11"/>
  <c r="Z11" i="11"/>
  <c r="X21" i="11"/>
  <c r="X13" i="11"/>
  <c r="X26" i="11" s="1"/>
  <c r="AY19" i="19"/>
  <c r="AU38" i="19"/>
  <c r="AU19" i="19"/>
  <c r="AQ19" i="19"/>
  <c r="AQ17" i="19"/>
  <c r="AK38" i="19"/>
  <c r="AK17" i="19"/>
  <c r="T22" i="6"/>
  <c r="T34" i="6" s="1"/>
  <c r="T36" i="6" s="1"/>
  <c r="T38" i="6" s="1"/>
  <c r="U22" i="6"/>
  <c r="U34" i="6" s="1"/>
  <c r="U36" i="6" s="1"/>
  <c r="U38" i="6" s="1"/>
  <c r="R17" i="6"/>
  <c r="S17" i="6"/>
  <c r="AE22" i="6"/>
  <c r="AD22" i="6"/>
  <c r="AS22" i="6"/>
  <c r="AU9" i="6"/>
  <c r="AU10" i="6"/>
  <c r="AX38" i="6"/>
  <c r="AY15" i="6"/>
  <c r="AE19" i="19"/>
  <c r="AE10" i="19"/>
  <c r="Y19" i="19"/>
  <c r="Y17" i="19"/>
  <c r="W57" i="19"/>
  <c r="W36" i="19"/>
  <c r="AW36" i="19" s="1"/>
  <c r="U57" i="19"/>
  <c r="U38" i="19"/>
  <c r="U19" i="19"/>
  <c r="T18" i="7"/>
  <c r="AV18" i="7"/>
  <c r="AZ18" i="7"/>
  <c r="T17" i="7"/>
  <c r="AV17" i="7"/>
  <c r="AZ17" i="7" s="1"/>
  <c r="R13" i="11"/>
  <c r="R26" i="11"/>
  <c r="T36" i="19"/>
  <c r="S17" i="19"/>
  <c r="R17" i="19"/>
  <c r="Q17" i="19"/>
  <c r="Q13" i="11"/>
  <c r="Q26" i="11" s="1"/>
  <c r="Q21" i="11"/>
  <c r="P13" i="11"/>
  <c r="O36" i="8"/>
  <c r="O39" i="8" s="1"/>
  <c r="N36" i="8"/>
  <c r="N29" i="8"/>
  <c r="N39" i="8" s="1"/>
  <c r="N13" i="11"/>
  <c r="O13" i="11"/>
  <c r="O68" i="27"/>
  <c r="N68" i="27"/>
  <c r="M17" i="19"/>
  <c r="M5" i="11"/>
  <c r="M36" i="8"/>
  <c r="M39" i="8"/>
  <c r="M24" i="27"/>
  <c r="AW24" i="27" s="1"/>
  <c r="BA24" i="27" s="1"/>
  <c r="L24" i="27"/>
  <c r="M16" i="27"/>
  <c r="J13" i="11"/>
  <c r="K36" i="8"/>
  <c r="K39" i="8" s="1"/>
  <c r="I27" i="7"/>
  <c r="I68" i="27"/>
  <c r="I10" i="6"/>
  <c r="I36" i="8"/>
  <c r="I39" i="8" s="1"/>
  <c r="I21" i="11"/>
  <c r="H21" i="11"/>
  <c r="I13" i="11"/>
  <c r="G24" i="27"/>
  <c r="G16" i="27"/>
  <c r="G13" i="11"/>
  <c r="F13" i="11"/>
  <c r="E21" i="11"/>
  <c r="C26" i="17"/>
  <c r="AW26" i="17" s="1"/>
  <c r="BA26" i="17" s="1"/>
  <c r="B12" i="22"/>
  <c r="C10" i="6"/>
  <c r="B35" i="8"/>
  <c r="C18" i="11"/>
  <c r="B26" i="11"/>
  <c r="AW34" i="11"/>
  <c r="G31" i="11"/>
  <c r="E31" i="11"/>
  <c r="B39" i="8"/>
  <c r="Q39" i="8"/>
  <c r="S39" i="8"/>
  <c r="U39" i="8"/>
  <c r="W39" i="8"/>
  <c r="Y39" i="8"/>
  <c r="AA39" i="8"/>
  <c r="AC39" i="8"/>
  <c r="AE39" i="8"/>
  <c r="AG39" i="8"/>
  <c r="AI39" i="8"/>
  <c r="AS39" i="8"/>
  <c r="C39" i="8"/>
  <c r="E39" i="8"/>
  <c r="AW12" i="3"/>
  <c r="BA12" i="3" s="1"/>
  <c r="AW13" i="3"/>
  <c r="BA13" i="3" s="1"/>
  <c r="AV12" i="3"/>
  <c r="AZ12" i="3" s="1"/>
  <c r="AV13" i="3"/>
  <c r="AZ13" i="3" s="1"/>
  <c r="AW12" i="4"/>
  <c r="AW13" i="4"/>
  <c r="AV12" i="4"/>
  <c r="AV13" i="4"/>
  <c r="AW18" i="3"/>
  <c r="AV18" i="3"/>
  <c r="Y19" i="3"/>
  <c r="AU27" i="7"/>
  <c r="AT27" i="7"/>
  <c r="AS27" i="7"/>
  <c r="AQ27" i="7"/>
  <c r="AR27" i="7"/>
  <c r="AO27" i="7"/>
  <c r="AP27" i="7"/>
  <c r="AM27" i="7"/>
  <c r="AN27" i="7"/>
  <c r="AK27" i="7"/>
  <c r="AL27" i="7"/>
  <c r="AI27" i="7"/>
  <c r="AJ27" i="7"/>
  <c r="AG27" i="7"/>
  <c r="AH27" i="7"/>
  <c r="AF27" i="7"/>
  <c r="AE27" i="7"/>
  <c r="AC27" i="7"/>
  <c r="AD27" i="7"/>
  <c r="AA27" i="7"/>
  <c r="AB27" i="7"/>
  <c r="Y27" i="7"/>
  <c r="Z27" i="7"/>
  <c r="W27" i="7"/>
  <c r="X27" i="7"/>
  <c r="U27" i="7"/>
  <c r="V27" i="7"/>
  <c r="S27" i="7"/>
  <c r="Q27" i="7"/>
  <c r="R27" i="7"/>
  <c r="O27" i="7"/>
  <c r="P27" i="7"/>
  <c r="M27" i="7"/>
  <c r="N27" i="7"/>
  <c r="K27" i="7"/>
  <c r="L27" i="7"/>
  <c r="J27" i="7"/>
  <c r="G27" i="7"/>
  <c r="H27" i="7"/>
  <c r="E27" i="7"/>
  <c r="F27" i="7"/>
  <c r="C27" i="7"/>
  <c r="D27" i="7"/>
  <c r="B27" i="7"/>
  <c r="C69" i="27"/>
  <c r="AW69" i="27" s="1"/>
  <c r="BA69" i="27" s="1"/>
  <c r="B69" i="27"/>
  <c r="AV6" i="9"/>
  <c r="AZ6" i="9"/>
  <c r="AV7" i="9"/>
  <c r="AZ7" i="9" s="1"/>
  <c r="AV8" i="9"/>
  <c r="AZ8" i="9" s="1"/>
  <c r="AV9" i="9"/>
  <c r="AZ9" i="9" s="1"/>
  <c r="AV10" i="9"/>
  <c r="AZ10" i="9" s="1"/>
  <c r="AV11" i="9"/>
  <c r="AZ11" i="9" s="1"/>
  <c r="AV12" i="9"/>
  <c r="AZ12" i="9" s="1"/>
  <c r="AV13" i="9"/>
  <c r="AZ13" i="9" s="1"/>
  <c r="AV14" i="9"/>
  <c r="AZ14" i="9"/>
  <c r="AV15" i="9"/>
  <c r="AZ15" i="9" s="1"/>
  <c r="AV5" i="9"/>
  <c r="AZ5" i="9" s="1"/>
  <c r="AX23" i="17"/>
  <c r="AY23" i="17"/>
  <c r="AX10" i="27"/>
  <c r="J25" i="18"/>
  <c r="J22" i="18"/>
  <c r="J32" i="18" s="1"/>
  <c r="J38" i="18" s="1"/>
  <c r="J19" i="18"/>
  <c r="J31" i="11"/>
  <c r="J40" i="11" s="1"/>
  <c r="D32" i="18"/>
  <c r="D11" i="27"/>
  <c r="AV11" i="27" s="1"/>
  <c r="AZ11" i="27" s="1"/>
  <c r="F69" i="27"/>
  <c r="G69" i="27"/>
  <c r="P23" i="17"/>
  <c r="P21" i="17"/>
  <c r="AV21" i="17" s="1"/>
  <c r="AZ21" i="17" s="1"/>
  <c r="P22" i="18"/>
  <c r="P21" i="18"/>
  <c r="P20" i="18"/>
  <c r="P19" i="18"/>
  <c r="AR31" i="11"/>
  <c r="AR26" i="11"/>
  <c r="AD5" i="27"/>
  <c r="AD42" i="18"/>
  <c r="AV6" i="27"/>
  <c r="AZ6" i="27"/>
  <c r="AV7" i="27"/>
  <c r="AZ7" i="27"/>
  <c r="AV8" i="27"/>
  <c r="AZ8" i="27" s="1"/>
  <c r="AV9" i="27"/>
  <c r="AZ9" i="27"/>
  <c r="AV12" i="27"/>
  <c r="AZ12" i="27" s="1"/>
  <c r="AV13" i="27"/>
  <c r="AZ13" i="27" s="1"/>
  <c r="AV14" i="27"/>
  <c r="AZ14" i="27" s="1"/>
  <c r="AV15" i="27"/>
  <c r="AZ15" i="27"/>
  <c r="AV17" i="27"/>
  <c r="AZ17" i="27"/>
  <c r="AV18" i="27"/>
  <c r="AZ18" i="27" s="1"/>
  <c r="AV19" i="27"/>
  <c r="AZ19" i="27" s="1"/>
  <c r="AV20" i="27"/>
  <c r="AZ20" i="27"/>
  <c r="AV21" i="27"/>
  <c r="AZ21" i="27" s="1"/>
  <c r="AV22" i="27"/>
  <c r="AZ22" i="27" s="1"/>
  <c r="AV23" i="27"/>
  <c r="AZ23" i="27" s="1"/>
  <c r="AV25" i="27"/>
  <c r="AZ25" i="27"/>
  <c r="AV26" i="27"/>
  <c r="AZ26" i="27" s="1"/>
  <c r="AV27" i="27"/>
  <c r="AZ27" i="27" s="1"/>
  <c r="AV29" i="27"/>
  <c r="AZ29" i="27" s="1"/>
  <c r="AV30" i="27"/>
  <c r="AZ30" i="27"/>
  <c r="AV31" i="27"/>
  <c r="AZ31" i="27" s="1"/>
  <c r="AV32" i="27"/>
  <c r="AZ32" i="27" s="1"/>
  <c r="AV33" i="27"/>
  <c r="AZ33" i="27" s="1"/>
  <c r="AV34" i="27"/>
  <c r="AZ34" i="27"/>
  <c r="AV35" i="27"/>
  <c r="AZ35" i="27"/>
  <c r="AV36" i="27"/>
  <c r="AZ36" i="27" s="1"/>
  <c r="AV37" i="27"/>
  <c r="AZ37" i="27" s="1"/>
  <c r="AV38" i="27"/>
  <c r="AZ38" i="27"/>
  <c r="AV39" i="27"/>
  <c r="AZ39" i="27" s="1"/>
  <c r="AV40" i="27"/>
  <c r="AZ40" i="27" s="1"/>
  <c r="AV41" i="27"/>
  <c r="AZ41" i="27" s="1"/>
  <c r="AV42" i="27"/>
  <c r="AZ42" i="27"/>
  <c r="AV43" i="27"/>
  <c r="AZ43" i="27" s="1"/>
  <c r="AV44" i="27"/>
  <c r="AZ44" i="27" s="1"/>
  <c r="AV45" i="27"/>
  <c r="AZ45" i="27" s="1"/>
  <c r="AV46" i="27"/>
  <c r="AZ46" i="27"/>
  <c r="AV47" i="27"/>
  <c r="AZ47" i="27" s="1"/>
  <c r="AV48" i="27"/>
  <c r="AZ48" i="27" s="1"/>
  <c r="AV49" i="27"/>
  <c r="AZ49" i="27" s="1"/>
  <c r="AV50" i="27"/>
  <c r="AZ50" i="27"/>
  <c r="AV51" i="27"/>
  <c r="AZ51" i="27" s="1"/>
  <c r="AV54" i="27"/>
  <c r="AZ54" i="27" s="1"/>
  <c r="AV55" i="27"/>
  <c r="AV56" i="27"/>
  <c r="AZ56" i="27"/>
  <c r="AV57" i="27"/>
  <c r="AZ57" i="27" s="1"/>
  <c r="AV58" i="27"/>
  <c r="AZ58" i="27" s="1"/>
  <c r="AV59" i="27"/>
  <c r="AZ59" i="27"/>
  <c r="AV60" i="27"/>
  <c r="AZ60" i="27"/>
  <c r="AV61" i="27"/>
  <c r="AZ61" i="27"/>
  <c r="AV63" i="27"/>
  <c r="AZ63" i="27" s="1"/>
  <c r="AV64" i="27"/>
  <c r="AZ64" i="27"/>
  <c r="AV65" i="27"/>
  <c r="AZ65" i="27"/>
  <c r="AV66" i="27"/>
  <c r="AZ66" i="27" s="1"/>
  <c r="AZ55" i="27"/>
  <c r="AP32" i="18"/>
  <c r="AP42" i="18" s="1"/>
  <c r="AP22" i="18"/>
  <c r="N32" i="18"/>
  <c r="N25" i="18"/>
  <c r="N22" i="18"/>
  <c r="N19" i="18"/>
  <c r="N42" i="18" s="1"/>
  <c r="N13" i="18"/>
  <c r="N5" i="27"/>
  <c r="O19" i="19"/>
  <c r="AW19" i="19"/>
  <c r="C14" i="9"/>
  <c r="M14" i="9"/>
  <c r="S14" i="9"/>
  <c r="W14" i="9"/>
  <c r="AA14" i="9"/>
  <c r="AI14" i="9"/>
  <c r="AK14" i="9"/>
  <c r="AM14" i="9"/>
  <c r="AO14" i="9"/>
  <c r="AQ14" i="9"/>
  <c r="AS14" i="9"/>
  <c r="AU14" i="9"/>
  <c r="L25" i="18"/>
  <c r="L22" i="18"/>
  <c r="L32" i="18" s="1"/>
  <c r="L19" i="18"/>
  <c r="L13" i="18"/>
  <c r="AV24" i="27"/>
  <c r="AZ24" i="27" s="1"/>
  <c r="L5" i="27"/>
  <c r="AW34" i="18"/>
  <c r="BA34" i="18" s="1"/>
  <c r="AW9" i="18"/>
  <c r="BA9" i="18" s="1"/>
  <c r="AV34" i="18"/>
  <c r="AZ34" i="18" s="1"/>
  <c r="H42" i="18"/>
  <c r="H13" i="18"/>
  <c r="H22" i="18" s="1"/>
  <c r="AR5" i="27"/>
  <c r="Z5" i="27"/>
  <c r="AV67" i="27"/>
  <c r="AZ67" i="27"/>
  <c r="AV62" i="27"/>
  <c r="AZ62" i="27" s="1"/>
  <c r="R5" i="27"/>
  <c r="B32" i="18"/>
  <c r="B25" i="18"/>
  <c r="B22" i="18"/>
  <c r="B19" i="18"/>
  <c r="B13" i="18"/>
  <c r="U8" i="23"/>
  <c r="V8" i="23"/>
  <c r="W8" i="23"/>
  <c r="X8" i="23"/>
  <c r="N8" i="23"/>
  <c r="O8" i="23"/>
  <c r="P8" i="23"/>
  <c r="Q8" i="23"/>
  <c r="R8" i="23"/>
  <c r="S8" i="23"/>
  <c r="T8" i="23"/>
  <c r="D8" i="23"/>
  <c r="E8" i="23"/>
  <c r="F8" i="23"/>
  <c r="G8" i="23"/>
  <c r="H8" i="23"/>
  <c r="I8" i="23"/>
  <c r="J8" i="23"/>
  <c r="K8" i="23"/>
  <c r="L8" i="23"/>
  <c r="M8" i="23"/>
  <c r="C8" i="23"/>
  <c r="B8" i="23"/>
  <c r="X10" i="2"/>
  <c r="X39" i="8"/>
  <c r="AT5" i="27"/>
  <c r="AW17" i="19"/>
  <c r="BA17" i="19" s="1"/>
  <c r="AH39" i="8"/>
  <c r="AB39" i="8"/>
  <c r="V39" i="8"/>
  <c r="T39" i="8"/>
  <c r="P39" i="8"/>
  <c r="L39" i="8"/>
  <c r="J39" i="8"/>
  <c r="G39" i="8"/>
  <c r="F39" i="8"/>
  <c r="D39" i="8"/>
  <c r="AR39" i="8"/>
  <c r="AP39" i="8"/>
  <c r="AM39" i="8"/>
  <c r="AN39" i="8"/>
  <c r="AL39" i="8"/>
  <c r="AJ39" i="8"/>
  <c r="AW11" i="6"/>
  <c r="BA11" i="6" s="1"/>
  <c r="H5" i="27"/>
  <c r="AW41" i="19"/>
  <c r="BA41" i="19"/>
  <c r="T52" i="27"/>
  <c r="T10" i="27"/>
  <c r="AV10" i="27" s="1"/>
  <c r="AZ10" i="27" s="1"/>
  <c r="Q69" i="27"/>
  <c r="AW67" i="27"/>
  <c r="BA67" i="27"/>
  <c r="AW66" i="27"/>
  <c r="BA66" i="27" s="1"/>
  <c r="AW65" i="27"/>
  <c r="BA65" i="27" s="1"/>
  <c r="AW64" i="27"/>
  <c r="BA64" i="27" s="1"/>
  <c r="AW63" i="27"/>
  <c r="BA63" i="27"/>
  <c r="AW62" i="27"/>
  <c r="BA62" i="27" s="1"/>
  <c r="AW61" i="27"/>
  <c r="BA61" i="27" s="1"/>
  <c r="AW60" i="27"/>
  <c r="BA60" i="27"/>
  <c r="AW59" i="27"/>
  <c r="BA59" i="27"/>
  <c r="AW58" i="27"/>
  <c r="BA58" i="27" s="1"/>
  <c r="AW57" i="27"/>
  <c r="BA57" i="27" s="1"/>
  <c r="AW56" i="27"/>
  <c r="BA56" i="27"/>
  <c r="AW55" i="27"/>
  <c r="BA55" i="27" s="1"/>
  <c r="AW54" i="27"/>
  <c r="BA54" i="27" s="1"/>
  <c r="AU52" i="27"/>
  <c r="AU53" i="27" s="1"/>
  <c r="AS52" i="27"/>
  <c r="AS53" i="27" s="1"/>
  <c r="AQ52" i="27"/>
  <c r="AO52" i="27"/>
  <c r="AO53" i="27" s="1"/>
  <c r="AM52" i="27"/>
  <c r="AM53" i="27"/>
  <c r="AK52" i="27"/>
  <c r="AK53" i="27"/>
  <c r="AI52" i="27"/>
  <c r="AG52" i="27"/>
  <c r="AG53" i="27" s="1"/>
  <c r="AE52" i="27"/>
  <c r="AE53" i="27" s="1"/>
  <c r="AC52" i="27"/>
  <c r="AC53" i="27" s="1"/>
  <c r="AA52" i="27"/>
  <c r="AA53" i="27"/>
  <c r="Y52" i="27"/>
  <c r="Y53" i="27" s="1"/>
  <c r="W52" i="27"/>
  <c r="W53" i="27" s="1"/>
  <c r="U52" i="27"/>
  <c r="U53" i="27" s="1"/>
  <c r="S52" i="27"/>
  <c r="S53" i="27"/>
  <c r="Q53" i="27"/>
  <c r="O52" i="27"/>
  <c r="O53" i="27" s="1"/>
  <c r="M52" i="27"/>
  <c r="M53" i="27"/>
  <c r="K52" i="27"/>
  <c r="K53" i="27"/>
  <c r="I52" i="27"/>
  <c r="I53" i="27" s="1"/>
  <c r="G52" i="27"/>
  <c r="G53" i="27" s="1"/>
  <c r="E52" i="27"/>
  <c r="E53" i="27"/>
  <c r="C52" i="27"/>
  <c r="C53" i="27"/>
  <c r="AW51" i="27"/>
  <c r="BA51" i="27" s="1"/>
  <c r="AW50" i="27"/>
  <c r="BA50" i="27" s="1"/>
  <c r="AW49" i="27"/>
  <c r="BA49" i="27" s="1"/>
  <c r="AW48" i="27"/>
  <c r="BA48" i="27" s="1"/>
  <c r="AW47" i="27"/>
  <c r="BA47" i="27" s="1"/>
  <c r="AW46" i="27"/>
  <c r="BA46" i="27" s="1"/>
  <c r="AW45" i="27"/>
  <c r="BA45" i="27"/>
  <c r="AW44" i="27"/>
  <c r="BA44" i="27" s="1"/>
  <c r="AW43" i="27"/>
  <c r="BA43" i="27" s="1"/>
  <c r="AW42" i="27"/>
  <c r="BA42" i="27" s="1"/>
  <c r="AW41" i="27"/>
  <c r="BA41" i="27" s="1"/>
  <c r="AW40" i="27"/>
  <c r="BA40" i="27" s="1"/>
  <c r="AW39" i="27"/>
  <c r="BA39" i="27" s="1"/>
  <c r="AW38" i="27"/>
  <c r="BA38" i="27" s="1"/>
  <c r="AW37" i="27"/>
  <c r="BA37" i="27"/>
  <c r="AW36" i="27"/>
  <c r="BA36" i="27" s="1"/>
  <c r="AW35" i="27"/>
  <c r="BA35" i="27"/>
  <c r="AW34" i="27"/>
  <c r="BA34" i="27" s="1"/>
  <c r="AW33" i="27"/>
  <c r="BA33" i="27"/>
  <c r="AW31" i="27"/>
  <c r="BA31" i="27"/>
  <c r="AW30" i="27"/>
  <c r="BA30" i="27" s="1"/>
  <c r="AW29" i="27"/>
  <c r="BA29" i="27" s="1"/>
  <c r="AW28" i="27"/>
  <c r="BA28" i="27" s="1"/>
  <c r="AW27" i="27"/>
  <c r="BA27" i="27"/>
  <c r="AW26" i="27"/>
  <c r="BA26" i="27" s="1"/>
  <c r="AW25" i="27"/>
  <c r="BA25" i="27" s="1"/>
  <c r="AW23" i="27"/>
  <c r="BA23" i="27"/>
  <c r="AW22" i="27"/>
  <c r="BA22" i="27" s="1"/>
  <c r="AW21" i="27"/>
  <c r="BA21" i="27"/>
  <c r="AW20" i="27"/>
  <c r="BA20" i="27" s="1"/>
  <c r="AW19" i="27"/>
  <c r="BA19" i="27"/>
  <c r="AW18" i="27"/>
  <c r="BA18" i="27" s="1"/>
  <c r="AW17" i="27"/>
  <c r="BA17" i="27"/>
  <c r="AW15" i="27"/>
  <c r="BA15" i="27"/>
  <c r="AW14" i="27"/>
  <c r="BA14" i="27" s="1"/>
  <c r="AW13" i="27"/>
  <c r="BA13" i="27" s="1"/>
  <c r="AW12" i="27"/>
  <c r="BA12" i="27" s="1"/>
  <c r="AW11" i="27"/>
  <c r="BA11" i="27" s="1"/>
  <c r="AY10" i="27"/>
  <c r="AU10" i="27"/>
  <c r="AS10" i="27"/>
  <c r="AQ10" i="27"/>
  <c r="AO10" i="27"/>
  <c r="AM10" i="27"/>
  <c r="AK10" i="27"/>
  <c r="AI10" i="27"/>
  <c r="AG10" i="27"/>
  <c r="AE10" i="27"/>
  <c r="AC10" i="27"/>
  <c r="AA10" i="27"/>
  <c r="Y10" i="27"/>
  <c r="W10" i="27"/>
  <c r="U10" i="27"/>
  <c r="S10" i="27"/>
  <c r="Q10" i="27"/>
  <c r="O10" i="27"/>
  <c r="M10" i="27"/>
  <c r="K10" i="27"/>
  <c r="I10" i="27"/>
  <c r="G10" i="27"/>
  <c r="E10" i="27"/>
  <c r="C10" i="27"/>
  <c r="AW9" i="27"/>
  <c r="BA9" i="27" s="1"/>
  <c r="AW8" i="27"/>
  <c r="BA8" i="27" s="1"/>
  <c r="AW7" i="27"/>
  <c r="BA7" i="27" s="1"/>
  <c r="AW6" i="27"/>
  <c r="BA6" i="27"/>
  <c r="AW5" i="27"/>
  <c r="BA5" i="27" s="1"/>
  <c r="AW57" i="19"/>
  <c r="BA57" i="19" s="1"/>
  <c r="AW38" i="19"/>
  <c r="BA38" i="19" s="1"/>
  <c r="AV4" i="17"/>
  <c r="AZ4" i="17" s="1"/>
  <c r="AV5" i="17"/>
  <c r="AZ5" i="17" s="1"/>
  <c r="AV6" i="17"/>
  <c r="AZ6" i="17" s="1"/>
  <c r="AV7" i="17"/>
  <c r="AZ7" i="17" s="1"/>
  <c r="AV8" i="17"/>
  <c r="AZ8" i="17" s="1"/>
  <c r="AV9" i="17"/>
  <c r="AZ9" i="17" s="1"/>
  <c r="AV10" i="17"/>
  <c r="AZ10" i="17" s="1"/>
  <c r="AV11" i="17"/>
  <c r="AZ11" i="17" s="1"/>
  <c r="AV12" i="17"/>
  <c r="AZ12" i="17" s="1"/>
  <c r="AV13" i="17"/>
  <c r="AZ13" i="17" s="1"/>
  <c r="AV16" i="17"/>
  <c r="AZ16" i="17" s="1"/>
  <c r="AV17" i="17"/>
  <c r="AZ17" i="17" s="1"/>
  <c r="AV18" i="17"/>
  <c r="AZ18" i="17" s="1"/>
  <c r="AV19" i="17"/>
  <c r="AZ19" i="17" s="1"/>
  <c r="AV20" i="17"/>
  <c r="AZ20" i="17"/>
  <c r="AV22" i="17"/>
  <c r="AZ22" i="17" s="1"/>
  <c r="AV23" i="17"/>
  <c r="AZ23" i="17" s="1"/>
  <c r="AV24" i="17"/>
  <c r="AZ24" i="17" s="1"/>
  <c r="AV25" i="17"/>
  <c r="AZ25" i="17" s="1"/>
  <c r="AV26" i="17"/>
  <c r="AZ26" i="17" s="1"/>
  <c r="AV27" i="17"/>
  <c r="AZ27" i="17" s="1"/>
  <c r="AV28" i="17"/>
  <c r="AZ28" i="17" s="1"/>
  <c r="AV29" i="17"/>
  <c r="AZ29" i="17"/>
  <c r="AW4" i="17"/>
  <c r="BA4" i="17" s="1"/>
  <c r="AW5" i="17"/>
  <c r="BA5" i="17" s="1"/>
  <c r="AW6" i="17"/>
  <c r="AW7" i="17"/>
  <c r="BA7" i="17" s="1"/>
  <c r="AW8" i="17"/>
  <c r="BA8" i="17" s="1"/>
  <c r="AW9" i="17"/>
  <c r="BA9" i="17"/>
  <c r="AW10" i="17"/>
  <c r="BA10" i="17"/>
  <c r="AW11" i="17"/>
  <c r="BA11" i="17"/>
  <c r="AW12" i="17"/>
  <c r="BA12" i="17" s="1"/>
  <c r="AW13" i="17"/>
  <c r="BA13" i="17"/>
  <c r="AW16" i="17"/>
  <c r="BA16" i="17"/>
  <c r="AW18" i="17"/>
  <c r="BA18" i="17"/>
  <c r="AW19" i="17"/>
  <c r="BA19" i="17" s="1"/>
  <c r="AW20" i="17"/>
  <c r="BA20" i="17"/>
  <c r="AW22" i="17"/>
  <c r="BA22" i="17"/>
  <c r="AW24" i="17"/>
  <c r="BA24" i="17"/>
  <c r="AW25" i="17"/>
  <c r="BA25" i="17" s="1"/>
  <c r="AW27" i="17"/>
  <c r="BA27" i="17"/>
  <c r="AW28" i="17"/>
  <c r="BA28" i="17" s="1"/>
  <c r="AW29" i="17"/>
  <c r="BA29" i="17" s="1"/>
  <c r="AW3" i="17"/>
  <c r="BA3" i="17" s="1"/>
  <c r="AV3" i="17"/>
  <c r="AZ3" i="17" s="1"/>
  <c r="I13" i="18"/>
  <c r="I19" i="18"/>
  <c r="I22" i="18" s="1"/>
  <c r="I42" i="18"/>
  <c r="C13" i="18"/>
  <c r="C19" i="18"/>
  <c r="C22" i="18"/>
  <c r="C25" i="18"/>
  <c r="C32" i="18" s="1"/>
  <c r="C42" i="18"/>
  <c r="AW9" i="19"/>
  <c r="BA9" i="19" s="1"/>
  <c r="AW10" i="19"/>
  <c r="BA10" i="19" s="1"/>
  <c r="AW11" i="19"/>
  <c r="BA11" i="19" s="1"/>
  <c r="AW12" i="19"/>
  <c r="BA12" i="19" s="1"/>
  <c r="AW13" i="19"/>
  <c r="BA13" i="19" s="1"/>
  <c r="AW14" i="19"/>
  <c r="BA14" i="19" s="1"/>
  <c r="AW15" i="19"/>
  <c r="BA15" i="19" s="1"/>
  <c r="AW16" i="19"/>
  <c r="BA16" i="19"/>
  <c r="AW18" i="19"/>
  <c r="BA18" i="19" s="1"/>
  <c r="AW20" i="19"/>
  <c r="BA20" i="19" s="1"/>
  <c r="AW21" i="19"/>
  <c r="BA21" i="19" s="1"/>
  <c r="AW22" i="19"/>
  <c r="BA22" i="19" s="1"/>
  <c r="AW23" i="19"/>
  <c r="BA23" i="19"/>
  <c r="AW24" i="19"/>
  <c r="BA24" i="19" s="1"/>
  <c r="AW25" i="19"/>
  <c r="BA25" i="19" s="1"/>
  <c r="AW27" i="19"/>
  <c r="BA27" i="19" s="1"/>
  <c r="AW28" i="19"/>
  <c r="BA28" i="19"/>
  <c r="AW29" i="19"/>
  <c r="BA29" i="19" s="1"/>
  <c r="AW30" i="19"/>
  <c r="BA30" i="19" s="1"/>
  <c r="AW31" i="19"/>
  <c r="BA31" i="19"/>
  <c r="AW32" i="19"/>
  <c r="BA32" i="19" s="1"/>
  <c r="AW33" i="19"/>
  <c r="BA33" i="19" s="1"/>
  <c r="AW34" i="19"/>
  <c r="BA34" i="19" s="1"/>
  <c r="AW35" i="19"/>
  <c r="BA35" i="19" s="1"/>
  <c r="BA36" i="19"/>
  <c r="AW37" i="19"/>
  <c r="BA37" i="19" s="1"/>
  <c r="AW39" i="19"/>
  <c r="BA39" i="19" s="1"/>
  <c r="AW40" i="19"/>
  <c r="BA40" i="19"/>
  <c r="AW42" i="19"/>
  <c r="BA42" i="19" s="1"/>
  <c r="AW43" i="19"/>
  <c r="BA43" i="19" s="1"/>
  <c r="AW44" i="19"/>
  <c r="BA44" i="19" s="1"/>
  <c r="AW45" i="19"/>
  <c r="BA45" i="19" s="1"/>
  <c r="AW46" i="19"/>
  <c r="BA46" i="19" s="1"/>
  <c r="AW47" i="19"/>
  <c r="BA47" i="19" s="1"/>
  <c r="AW48" i="19"/>
  <c r="BA48" i="19" s="1"/>
  <c r="AW49" i="19"/>
  <c r="BA49" i="19"/>
  <c r="AW50" i="19"/>
  <c r="BA50" i="19" s="1"/>
  <c r="AW51" i="19"/>
  <c r="BA51" i="19" s="1"/>
  <c r="AW52" i="19"/>
  <c r="BA52" i="19" s="1"/>
  <c r="AW53" i="19"/>
  <c r="BA53" i="19" s="1"/>
  <c r="AW54" i="19"/>
  <c r="BA54" i="19" s="1"/>
  <c r="AW55" i="19"/>
  <c r="BA55" i="19" s="1"/>
  <c r="AW56" i="19"/>
  <c r="BA56" i="19" s="1"/>
  <c r="AW58" i="19"/>
  <c r="BA58" i="19" s="1"/>
  <c r="AW59" i="19"/>
  <c r="BA59" i="19" s="1"/>
  <c r="AW60" i="19"/>
  <c r="BA60" i="19" s="1"/>
  <c r="AX7" i="19"/>
  <c r="BB7" i="19" s="1"/>
  <c r="AX9" i="19"/>
  <c r="BB9" i="19"/>
  <c r="AX11" i="19"/>
  <c r="BB11" i="19" s="1"/>
  <c r="AX12" i="19"/>
  <c r="BB12" i="19" s="1"/>
  <c r="AX13" i="19"/>
  <c r="BB13" i="19" s="1"/>
  <c r="AX14" i="19"/>
  <c r="BB14" i="19" s="1"/>
  <c r="AX15" i="19"/>
  <c r="BB15" i="19" s="1"/>
  <c r="AX16" i="19"/>
  <c r="BB16" i="19" s="1"/>
  <c r="AX20" i="19"/>
  <c r="BB20" i="19" s="1"/>
  <c r="AX22" i="19"/>
  <c r="BB22" i="19" s="1"/>
  <c r="AX23" i="19"/>
  <c r="BB23" i="19"/>
  <c r="AX24" i="19"/>
  <c r="BB24" i="19" s="1"/>
  <c r="AX25" i="19"/>
  <c r="BB25" i="19" s="1"/>
  <c r="AX28" i="19"/>
  <c r="BB28" i="19"/>
  <c r="AX29" i="19"/>
  <c r="BB29" i="19"/>
  <c r="AX30" i="19"/>
  <c r="BB30" i="19" s="1"/>
  <c r="AX31" i="19"/>
  <c r="BB31" i="19" s="1"/>
  <c r="AX32" i="19"/>
  <c r="BB32" i="19" s="1"/>
  <c r="AX33" i="19"/>
  <c r="BB33" i="19" s="1"/>
  <c r="AX34" i="19"/>
  <c r="BB34" i="19" s="1"/>
  <c r="AX35" i="19"/>
  <c r="BB35" i="19" s="1"/>
  <c r="AX37" i="19"/>
  <c r="BB37" i="19"/>
  <c r="AX39" i="19"/>
  <c r="BB39" i="19" s="1"/>
  <c r="AX40" i="19"/>
  <c r="BB40" i="19" s="1"/>
  <c r="AX42" i="19"/>
  <c r="BB42" i="19" s="1"/>
  <c r="AX43" i="19"/>
  <c r="BB43" i="19" s="1"/>
  <c r="AX44" i="19"/>
  <c r="BB44" i="19"/>
  <c r="AX45" i="19"/>
  <c r="BB45" i="19" s="1"/>
  <c r="AX46" i="19"/>
  <c r="BB46" i="19" s="1"/>
  <c r="AX47" i="19"/>
  <c r="BB47" i="19"/>
  <c r="AX48" i="19"/>
  <c r="BB48" i="19"/>
  <c r="AX49" i="19"/>
  <c r="BB49" i="19" s="1"/>
  <c r="AX50" i="19"/>
  <c r="BB50" i="19" s="1"/>
  <c r="AX51" i="19"/>
  <c r="BB51" i="19"/>
  <c r="AX52" i="19"/>
  <c r="BB52" i="19" s="1"/>
  <c r="AX53" i="19"/>
  <c r="BB53" i="19" s="1"/>
  <c r="AX54" i="19"/>
  <c r="BB54" i="19" s="1"/>
  <c r="AX55" i="19"/>
  <c r="BB55" i="19" s="1"/>
  <c r="AX56" i="19"/>
  <c r="BB56" i="19" s="1"/>
  <c r="AX58" i="19"/>
  <c r="BB58" i="19" s="1"/>
  <c r="AX59" i="19"/>
  <c r="BB59" i="19" s="1"/>
  <c r="AX60" i="19"/>
  <c r="BB60" i="19" s="1"/>
  <c r="AW7" i="19"/>
  <c r="BA7" i="19"/>
  <c r="AX6" i="19"/>
  <c r="BB6" i="19" s="1"/>
  <c r="AW6" i="19"/>
  <c r="BA6" i="19" s="1"/>
  <c r="AX5" i="19"/>
  <c r="BB5" i="19" s="1"/>
  <c r="AW5" i="19"/>
  <c r="BA5" i="19" s="1"/>
  <c r="BB4" i="19"/>
  <c r="BA4" i="19"/>
  <c r="AO8" i="19"/>
  <c r="AM8" i="19"/>
  <c r="AK8" i="19"/>
  <c r="AI8" i="19"/>
  <c r="AG8" i="19"/>
  <c r="AE8" i="19"/>
  <c r="AC8" i="19"/>
  <c r="AA8" i="19"/>
  <c r="Y8" i="19"/>
  <c r="W8" i="19"/>
  <c r="U8" i="19"/>
  <c r="S8" i="19"/>
  <c r="Q8" i="19"/>
  <c r="O8" i="19"/>
  <c r="M8" i="19"/>
  <c r="K8" i="19"/>
  <c r="I8" i="19"/>
  <c r="G8" i="19"/>
  <c r="E8" i="19"/>
  <c r="C8" i="19"/>
  <c r="AQ8" i="19"/>
  <c r="AR8" i="19"/>
  <c r="AS8" i="19"/>
  <c r="AU8" i="19"/>
  <c r="AY8" i="19"/>
  <c r="AW12" i="8"/>
  <c r="BA12" i="8" s="1"/>
  <c r="S26" i="11"/>
  <c r="Q31" i="11"/>
  <c r="Q40" i="11"/>
  <c r="AX18" i="19"/>
  <c r="BB18" i="19" s="1"/>
  <c r="AX21" i="19"/>
  <c r="BB21" i="19" s="1"/>
  <c r="AX10" i="19"/>
  <c r="BB10" i="19" s="1"/>
  <c r="AX36" i="19"/>
  <c r="BB36" i="19" s="1"/>
  <c r="AW8" i="8"/>
  <c r="BA8" i="8" s="1"/>
  <c r="AU26" i="11"/>
  <c r="AG26" i="11"/>
  <c r="AC26" i="11"/>
  <c r="AA26" i="11"/>
  <c r="I26" i="11"/>
  <c r="C31" i="11"/>
  <c r="AX41" i="19"/>
  <c r="BB41" i="19" s="1"/>
  <c r="AX27" i="19"/>
  <c r="BB27" i="19" s="1"/>
  <c r="AZ8" i="19"/>
  <c r="F8" i="19"/>
  <c r="H8" i="19"/>
  <c r="J8" i="19"/>
  <c r="L8" i="19"/>
  <c r="N8" i="19"/>
  <c r="P8" i="19"/>
  <c r="R8" i="19"/>
  <c r="T8" i="19"/>
  <c r="V8" i="19"/>
  <c r="X8" i="19"/>
  <c r="Z8" i="19"/>
  <c r="AB8" i="19"/>
  <c r="AD8" i="19"/>
  <c r="AF8" i="19"/>
  <c r="AH8" i="19"/>
  <c r="AJ8" i="19"/>
  <c r="AL8" i="19"/>
  <c r="AN8" i="19"/>
  <c r="AP8" i="19"/>
  <c r="AT8" i="19"/>
  <c r="AV8" i="19"/>
  <c r="D8" i="19"/>
  <c r="AU17" i="17"/>
  <c r="AU23" i="17" s="1"/>
  <c r="AK17" i="17"/>
  <c r="AK23" i="17" s="1"/>
  <c r="AM17" i="17"/>
  <c r="AM23" i="17" s="1"/>
  <c r="AO17" i="17"/>
  <c r="AQ17" i="17"/>
  <c r="AQ23" i="17"/>
  <c r="AS17" i="17"/>
  <c r="AS23" i="17" s="1"/>
  <c r="AC17" i="17"/>
  <c r="AC21" i="17" s="1"/>
  <c r="AE17" i="17"/>
  <c r="AG17" i="17"/>
  <c r="AG21" i="17" s="1"/>
  <c r="AI17" i="17"/>
  <c r="AI21" i="17"/>
  <c r="Q17" i="17"/>
  <c r="S17" i="17"/>
  <c r="S21" i="17" s="1"/>
  <c r="U17" i="17"/>
  <c r="U23" i="17" s="1"/>
  <c r="W17" i="17"/>
  <c r="W23" i="17"/>
  <c r="Y17" i="17"/>
  <c r="Y23" i="17"/>
  <c r="AA17" i="17"/>
  <c r="AA23" i="17" s="1"/>
  <c r="E17" i="17"/>
  <c r="E21" i="17" s="1"/>
  <c r="G17" i="17"/>
  <c r="G21" i="17"/>
  <c r="I17" i="17"/>
  <c r="K17" i="17"/>
  <c r="K23" i="17" s="1"/>
  <c r="M17" i="17"/>
  <c r="M23" i="17"/>
  <c r="O17" i="17"/>
  <c r="O23" i="17"/>
  <c r="C17" i="17"/>
  <c r="AW6" i="7"/>
  <c r="BA6" i="7" s="1"/>
  <c r="AW7" i="7"/>
  <c r="BA7" i="7" s="1"/>
  <c r="AW8" i="7"/>
  <c r="BA8" i="7" s="1"/>
  <c r="AW7" i="5"/>
  <c r="BA7" i="5"/>
  <c r="AW13" i="9"/>
  <c r="BA13" i="9" s="1"/>
  <c r="AY34" i="6"/>
  <c r="AY38" i="6" s="1"/>
  <c r="AX34" i="6"/>
  <c r="AX9" i="7"/>
  <c r="AX12" i="7" s="1"/>
  <c r="AX14" i="7" s="1"/>
  <c r="AY9" i="7"/>
  <c r="AY12" i="7"/>
  <c r="AY14" i="7" s="1"/>
  <c r="K38" i="18"/>
  <c r="K42" i="18" s="1"/>
  <c r="K32" i="18"/>
  <c r="K25" i="18"/>
  <c r="K22" i="18"/>
  <c r="K19" i="18"/>
  <c r="K13" i="18"/>
  <c r="T31" i="11"/>
  <c r="T40" i="11" s="1"/>
  <c r="U32" i="18"/>
  <c r="U25" i="18"/>
  <c r="AU38" i="18"/>
  <c r="AU42" i="18" s="1"/>
  <c r="AW42" i="18" s="1"/>
  <c r="BA42" i="18" s="1"/>
  <c r="AU32" i="18"/>
  <c r="AU25" i="18"/>
  <c r="AU22" i="18"/>
  <c r="AU19" i="18"/>
  <c r="AU13" i="18"/>
  <c r="AW28" i="8"/>
  <c r="BA28" i="8" s="1"/>
  <c r="AQ42" i="18"/>
  <c r="AQ32" i="18"/>
  <c r="AQ25" i="18"/>
  <c r="AQ22" i="18"/>
  <c r="AI32" i="18"/>
  <c r="AI25" i="18"/>
  <c r="AI22" i="18"/>
  <c r="AI19" i="18"/>
  <c r="AI13" i="18"/>
  <c r="BA6" i="17"/>
  <c r="Y6" i="22"/>
  <c r="AA6" i="22" s="1"/>
  <c r="Y7" i="22"/>
  <c r="AA7" i="22" s="1"/>
  <c r="Y8" i="22"/>
  <c r="AA8" i="22"/>
  <c r="Y9" i="22"/>
  <c r="AA9" i="22" s="1"/>
  <c r="Y10" i="22"/>
  <c r="AA10" i="22" s="1"/>
  <c r="Y11" i="22"/>
  <c r="AA11" i="22" s="1"/>
  <c r="Y13" i="22"/>
  <c r="AA13" i="22" s="1"/>
  <c r="Y5" i="22"/>
  <c r="AA5" i="22"/>
  <c r="AQ13" i="18"/>
  <c r="AS13" i="18"/>
  <c r="AS19" i="18" s="1"/>
  <c r="AO42" i="18"/>
  <c r="AO13" i="18"/>
  <c r="AO22" i="18"/>
  <c r="AO25" i="18"/>
  <c r="AO32" i="18"/>
  <c r="AK13" i="18"/>
  <c r="AK19" i="18" s="1"/>
  <c r="AK22" i="18" s="1"/>
  <c r="AG13" i="18"/>
  <c r="AG19" i="18"/>
  <c r="AG22" i="18"/>
  <c r="AG25" i="18"/>
  <c r="AG32" i="18" s="1"/>
  <c r="AE42" i="18"/>
  <c r="AE13" i="18"/>
  <c r="AE22" i="18"/>
  <c r="AE25" i="18" s="1"/>
  <c r="AE32" i="18" s="1"/>
  <c r="AC13" i="18"/>
  <c r="AC19" i="18"/>
  <c r="AC22" i="18" s="1"/>
  <c r="AC25" i="18" s="1"/>
  <c r="AC32" i="18" s="1"/>
  <c r="AC42" i="18"/>
  <c r="W42" i="18"/>
  <c r="Y13" i="18"/>
  <c r="Y19" i="18"/>
  <c r="AA13" i="18"/>
  <c r="AA19" i="18" s="1"/>
  <c r="AA22" i="18" s="1"/>
  <c r="AA25" i="18" s="1"/>
  <c r="AA32" i="18" s="1"/>
  <c r="AA42" i="18"/>
  <c r="W13" i="18"/>
  <c r="W22" i="18"/>
  <c r="Q20" i="18"/>
  <c r="Q19" i="18"/>
  <c r="O25" i="18"/>
  <c r="O32" i="18" s="1"/>
  <c r="O22" i="18"/>
  <c r="O13" i="18"/>
  <c r="Q25" i="18"/>
  <c r="Q32" i="18"/>
  <c r="S13" i="18"/>
  <c r="S22" i="18" s="1"/>
  <c r="S42" i="18"/>
  <c r="U42" i="18"/>
  <c r="Y42" i="18"/>
  <c r="AG42" i="18"/>
  <c r="AI42" i="18"/>
  <c r="AK42" i="18"/>
  <c r="AM42" i="18"/>
  <c r="M42" i="18"/>
  <c r="M13" i="18"/>
  <c r="E22" i="18"/>
  <c r="E25" i="18"/>
  <c r="E32" i="18" s="1"/>
  <c r="E38" i="18" s="1"/>
  <c r="E13" i="18"/>
  <c r="G42" i="18"/>
  <c r="Y4" i="23"/>
  <c r="AA4" i="23" s="1"/>
  <c r="F14" i="22"/>
  <c r="G14" i="22"/>
  <c r="H14" i="22"/>
  <c r="I14" i="22"/>
  <c r="J14" i="22"/>
  <c r="K14" i="22"/>
  <c r="L14" i="22"/>
  <c r="M14" i="22"/>
  <c r="O14" i="22"/>
  <c r="P14" i="22"/>
  <c r="R14" i="22"/>
  <c r="S14" i="22"/>
  <c r="T14" i="22"/>
  <c r="U14" i="22"/>
  <c r="V14" i="22"/>
  <c r="W14" i="22"/>
  <c r="X14" i="22"/>
  <c r="Z14" i="22"/>
  <c r="C14" i="22"/>
  <c r="D14" i="22"/>
  <c r="E14" i="22"/>
  <c r="AV33" i="8"/>
  <c r="AZ33" i="8" s="1"/>
  <c r="AG12" i="11"/>
  <c r="AV10" i="11"/>
  <c r="AZ10" i="11" s="1"/>
  <c r="M40" i="11"/>
  <c r="L40" i="11"/>
  <c r="L26" i="11"/>
  <c r="AV6" i="2"/>
  <c r="AZ6" i="2" s="1"/>
  <c r="AW6" i="2"/>
  <c r="BA6" i="2" s="1"/>
  <c r="AV7" i="2"/>
  <c r="AZ7" i="2"/>
  <c r="AW7" i="2"/>
  <c r="BA7" i="2" s="1"/>
  <c r="AV8" i="2"/>
  <c r="AZ8" i="2" s="1"/>
  <c r="AW8" i="2"/>
  <c r="BA8" i="2" s="1"/>
  <c r="AV9" i="2"/>
  <c r="AZ9" i="2"/>
  <c r="AW9" i="2"/>
  <c r="BA9" i="2"/>
  <c r="AV10" i="2"/>
  <c r="AZ10" i="2" s="1"/>
  <c r="AW10" i="2"/>
  <c r="BA10" i="2" s="1"/>
  <c r="AV11" i="2"/>
  <c r="AZ11" i="2"/>
  <c r="AW11" i="2"/>
  <c r="BA11" i="2" s="1"/>
  <c r="AV13" i="2"/>
  <c r="AZ13" i="2" s="1"/>
  <c r="AW13" i="2"/>
  <c r="BA13" i="2"/>
  <c r="AV5" i="2"/>
  <c r="AZ5" i="2"/>
  <c r="AW5" i="2"/>
  <c r="BA5" i="2" s="1"/>
  <c r="AW6" i="1"/>
  <c r="BA6" i="1" s="1"/>
  <c r="AW7" i="1"/>
  <c r="BA7" i="1" s="1"/>
  <c r="AW8" i="1"/>
  <c r="BA8" i="1" s="1"/>
  <c r="AW9" i="1"/>
  <c r="BA9" i="1"/>
  <c r="AW10" i="1"/>
  <c r="BA10" i="1" s="1"/>
  <c r="AW11" i="1"/>
  <c r="BA11" i="1"/>
  <c r="AW13" i="1"/>
  <c r="BA13" i="1"/>
  <c r="AV6" i="1"/>
  <c r="AZ6" i="1" s="1"/>
  <c r="AV7" i="1"/>
  <c r="AZ7" i="1" s="1"/>
  <c r="AV8" i="1"/>
  <c r="AZ8" i="1"/>
  <c r="AV9" i="1"/>
  <c r="AZ9" i="1"/>
  <c r="AV10" i="1"/>
  <c r="AZ10" i="1" s="1"/>
  <c r="AV11" i="1"/>
  <c r="AZ11" i="1" s="1"/>
  <c r="AV13" i="1"/>
  <c r="AZ13" i="1"/>
  <c r="AW5" i="1"/>
  <c r="BA5" i="1" s="1"/>
  <c r="AV5" i="1"/>
  <c r="AZ5" i="1"/>
  <c r="X12" i="11"/>
  <c r="AW32" i="8"/>
  <c r="BA32" i="8" s="1"/>
  <c r="AV32" i="8"/>
  <c r="AZ32" i="8" s="1"/>
  <c r="AR34" i="6"/>
  <c r="AR36" i="6"/>
  <c r="AR38" i="6"/>
  <c r="AB12" i="2"/>
  <c r="AB14" i="2" s="1"/>
  <c r="AC12" i="2"/>
  <c r="AC14" i="2"/>
  <c r="AB12" i="1"/>
  <c r="AB14" i="1"/>
  <c r="AC12" i="1"/>
  <c r="AC14" i="1" s="1"/>
  <c r="AW9" i="8"/>
  <c r="BA9" i="8" s="1"/>
  <c r="AC9" i="7"/>
  <c r="AC12" i="7"/>
  <c r="AC14" i="7" s="1"/>
  <c r="AX19" i="3"/>
  <c r="AX21" i="3"/>
  <c r="AY19" i="3"/>
  <c r="AY21" i="3"/>
  <c r="B19" i="3"/>
  <c r="B21" i="3" s="1"/>
  <c r="C19" i="3"/>
  <c r="C21" i="3"/>
  <c r="D19" i="3"/>
  <c r="D21" i="3"/>
  <c r="E19" i="3"/>
  <c r="E21" i="3" s="1"/>
  <c r="F19" i="3"/>
  <c r="F21" i="3"/>
  <c r="G19" i="3"/>
  <c r="G21" i="3"/>
  <c r="H19" i="3"/>
  <c r="H21" i="3" s="1"/>
  <c r="I19" i="3"/>
  <c r="I21" i="3" s="1"/>
  <c r="J19" i="3"/>
  <c r="J21" i="3"/>
  <c r="K19" i="3"/>
  <c r="K21" i="3"/>
  <c r="L19" i="3"/>
  <c r="L21" i="3" s="1"/>
  <c r="M19" i="3"/>
  <c r="M21" i="3" s="1"/>
  <c r="N19" i="3"/>
  <c r="N21" i="3"/>
  <c r="O19" i="3"/>
  <c r="P19" i="3"/>
  <c r="P21" i="3" s="1"/>
  <c r="Q19" i="3"/>
  <c r="Q21" i="3" s="1"/>
  <c r="R19" i="3"/>
  <c r="R21" i="3"/>
  <c r="S19" i="3"/>
  <c r="S21" i="3"/>
  <c r="T19" i="3"/>
  <c r="T21" i="3" s="1"/>
  <c r="U19" i="3"/>
  <c r="U21" i="3" s="1"/>
  <c r="V19" i="3"/>
  <c r="V21" i="3"/>
  <c r="W19" i="3"/>
  <c r="W21" i="3"/>
  <c r="X19" i="3"/>
  <c r="X21" i="3" s="1"/>
  <c r="Y21" i="3"/>
  <c r="Z19" i="3"/>
  <c r="Z21" i="3"/>
  <c r="AA19" i="3"/>
  <c r="AA21" i="3"/>
  <c r="AB19" i="3"/>
  <c r="AB21" i="3" s="1"/>
  <c r="AC19" i="3"/>
  <c r="AC21" i="3"/>
  <c r="AD19" i="3"/>
  <c r="AD21" i="3"/>
  <c r="AE19" i="3"/>
  <c r="AE21" i="3" s="1"/>
  <c r="AF19" i="3"/>
  <c r="AF21" i="3" s="1"/>
  <c r="AG19" i="3"/>
  <c r="AG21" i="3"/>
  <c r="AH19" i="3"/>
  <c r="AH21" i="3"/>
  <c r="AI19" i="3"/>
  <c r="AI21" i="3" s="1"/>
  <c r="AJ19" i="3"/>
  <c r="AJ21" i="3" s="1"/>
  <c r="AK19" i="3"/>
  <c r="AK21" i="3"/>
  <c r="AL19" i="3"/>
  <c r="AL21" i="3"/>
  <c r="AM19" i="3"/>
  <c r="AM21" i="3"/>
  <c r="AN19" i="3"/>
  <c r="AN21" i="3" s="1"/>
  <c r="AO19" i="3"/>
  <c r="AO21" i="3"/>
  <c r="AP19" i="3"/>
  <c r="AP21" i="3"/>
  <c r="AQ19" i="3"/>
  <c r="AQ21" i="3"/>
  <c r="AR19" i="3"/>
  <c r="AR21" i="3" s="1"/>
  <c r="AS19" i="3"/>
  <c r="AS21" i="3"/>
  <c r="AT19" i="3"/>
  <c r="AT21" i="3"/>
  <c r="AU19" i="3"/>
  <c r="AU21" i="3" s="1"/>
  <c r="AX18" i="4"/>
  <c r="AX20" i="4" s="1"/>
  <c r="AY18" i="4"/>
  <c r="AY20" i="4"/>
  <c r="B18" i="4"/>
  <c r="B20" i="4"/>
  <c r="C18" i="4"/>
  <c r="D18" i="4"/>
  <c r="E18" i="4"/>
  <c r="F18" i="4"/>
  <c r="G18" i="4"/>
  <c r="G20" i="4"/>
  <c r="H18" i="4"/>
  <c r="I18" i="4"/>
  <c r="I20" i="4"/>
  <c r="J18" i="4"/>
  <c r="K18" i="4"/>
  <c r="K20" i="4" s="1"/>
  <c r="L18" i="4"/>
  <c r="L20" i="4"/>
  <c r="M18" i="4"/>
  <c r="M20" i="4"/>
  <c r="N18" i="4"/>
  <c r="N20" i="4" s="1"/>
  <c r="O18" i="4"/>
  <c r="O20" i="4" s="1"/>
  <c r="P18" i="4"/>
  <c r="P20" i="4"/>
  <c r="Q18" i="4"/>
  <c r="Q20" i="4"/>
  <c r="R18" i="4"/>
  <c r="R20" i="4"/>
  <c r="S18" i="4"/>
  <c r="T18" i="4"/>
  <c r="T20" i="4"/>
  <c r="U18" i="4"/>
  <c r="U20" i="4" s="1"/>
  <c r="V18" i="4"/>
  <c r="V20" i="4"/>
  <c r="W18" i="4"/>
  <c r="W20" i="4"/>
  <c r="X18" i="4"/>
  <c r="X20" i="4" s="1"/>
  <c r="Y18" i="4"/>
  <c r="Y20" i="4" s="1"/>
  <c r="Z18" i="4"/>
  <c r="Z20" i="4"/>
  <c r="AA18" i="4"/>
  <c r="AA20" i="4" s="1"/>
  <c r="AB18" i="4"/>
  <c r="AB20" i="4" s="1"/>
  <c r="AC18" i="4"/>
  <c r="AC20" i="4" s="1"/>
  <c r="AD18" i="4"/>
  <c r="AD20" i="4"/>
  <c r="AE18" i="4"/>
  <c r="AE20" i="4"/>
  <c r="AF18" i="4"/>
  <c r="AF20" i="4" s="1"/>
  <c r="AG18" i="4"/>
  <c r="AG20" i="4" s="1"/>
  <c r="AH18" i="4"/>
  <c r="AH20" i="4"/>
  <c r="AI18" i="4"/>
  <c r="AI20" i="4"/>
  <c r="AJ18" i="4"/>
  <c r="AJ20" i="4" s="1"/>
  <c r="AK18" i="4"/>
  <c r="AK20" i="4" s="1"/>
  <c r="AL18" i="4"/>
  <c r="AL20" i="4"/>
  <c r="AM18" i="4"/>
  <c r="AM20" i="4"/>
  <c r="AN18" i="4"/>
  <c r="AN20" i="4" s="1"/>
  <c r="AO18" i="4"/>
  <c r="AO20" i="4" s="1"/>
  <c r="AP18" i="4"/>
  <c r="AP20" i="4"/>
  <c r="AQ18" i="4"/>
  <c r="AQ20" i="4" s="1"/>
  <c r="AR18" i="4"/>
  <c r="AR20" i="4" s="1"/>
  <c r="AS18" i="4"/>
  <c r="AS20" i="4" s="1"/>
  <c r="AT18" i="4"/>
  <c r="AT20" i="4"/>
  <c r="AU18" i="4"/>
  <c r="AU20" i="4"/>
  <c r="AX12" i="2"/>
  <c r="AX14" i="2" s="1"/>
  <c r="AY12" i="2"/>
  <c r="AY14" i="2" s="1"/>
  <c r="B12" i="2"/>
  <c r="B14" i="2"/>
  <c r="C12" i="2"/>
  <c r="D12" i="2"/>
  <c r="D14" i="2" s="1"/>
  <c r="E12" i="2"/>
  <c r="E14" i="2"/>
  <c r="F12" i="2"/>
  <c r="F14" i="2"/>
  <c r="G12" i="2"/>
  <c r="G14" i="2"/>
  <c r="H12" i="2"/>
  <c r="H14" i="2" s="1"/>
  <c r="I12" i="2"/>
  <c r="I14" i="2"/>
  <c r="J12" i="2"/>
  <c r="J14" i="2"/>
  <c r="K12" i="2"/>
  <c r="K14" i="2" s="1"/>
  <c r="L12" i="2"/>
  <c r="L14" i="2" s="1"/>
  <c r="M12" i="2"/>
  <c r="N12" i="2"/>
  <c r="N14" i="2" s="1"/>
  <c r="O12" i="2"/>
  <c r="O14" i="2"/>
  <c r="R12" i="2"/>
  <c r="R14" i="2" s="1"/>
  <c r="S12" i="2"/>
  <c r="S14" i="2" s="1"/>
  <c r="T12" i="2"/>
  <c r="T14" i="2" s="1"/>
  <c r="U12" i="2"/>
  <c r="U14" i="2"/>
  <c r="V12" i="2"/>
  <c r="V14" i="2"/>
  <c r="W12" i="2"/>
  <c r="W14" i="2" s="1"/>
  <c r="X12" i="2"/>
  <c r="X14" i="2" s="1"/>
  <c r="Y12" i="2"/>
  <c r="Y14" i="2"/>
  <c r="Z12" i="2"/>
  <c r="Z14" i="2"/>
  <c r="AA12" i="2"/>
  <c r="AA14" i="2" s="1"/>
  <c r="P12" i="2"/>
  <c r="Q12" i="2"/>
  <c r="Q14" i="2" s="1"/>
  <c r="AD12" i="2"/>
  <c r="AD14" i="2"/>
  <c r="AE12" i="2"/>
  <c r="AE14" i="2" s="1"/>
  <c r="AF12" i="2"/>
  <c r="AF14" i="2" s="1"/>
  <c r="AG12" i="2"/>
  <c r="AG14" i="2"/>
  <c r="AH12" i="2"/>
  <c r="AH14" i="2" s="1"/>
  <c r="AI12" i="2"/>
  <c r="AI14" i="2"/>
  <c r="AJ12" i="2"/>
  <c r="AJ14" i="2"/>
  <c r="AK12" i="2"/>
  <c r="AK14" i="2"/>
  <c r="AL12" i="2"/>
  <c r="AL14" i="2" s="1"/>
  <c r="AM12" i="2"/>
  <c r="AM14" i="2"/>
  <c r="AN12" i="2"/>
  <c r="AN14" i="2"/>
  <c r="AO12" i="2"/>
  <c r="AO14" i="2"/>
  <c r="AP12" i="2"/>
  <c r="AP14" i="2" s="1"/>
  <c r="AQ12" i="2"/>
  <c r="AQ14" i="2"/>
  <c r="AR12" i="2"/>
  <c r="AR14" i="2"/>
  <c r="AS12" i="2"/>
  <c r="AS14" i="2" s="1"/>
  <c r="AT12" i="2"/>
  <c r="AT14" i="2" s="1"/>
  <c r="AU12" i="2"/>
  <c r="AU14" i="2" s="1"/>
  <c r="AX12" i="1"/>
  <c r="AX14" i="1" s="1"/>
  <c r="AY12" i="1"/>
  <c r="AY14" i="1" s="1"/>
  <c r="D12" i="1"/>
  <c r="D14" i="1"/>
  <c r="AV14" i="1" s="1"/>
  <c r="AZ14" i="1" s="1"/>
  <c r="E12" i="1"/>
  <c r="F12" i="1"/>
  <c r="F14" i="1"/>
  <c r="G12" i="1"/>
  <c r="G14" i="1"/>
  <c r="H12" i="1"/>
  <c r="H14" i="1"/>
  <c r="I12" i="1"/>
  <c r="J12" i="1"/>
  <c r="J14" i="1"/>
  <c r="K12" i="1"/>
  <c r="K14" i="1"/>
  <c r="L12" i="1"/>
  <c r="L14" i="1"/>
  <c r="M12" i="1"/>
  <c r="M14" i="1" s="1"/>
  <c r="N12" i="1"/>
  <c r="N14" i="1"/>
  <c r="O12" i="1"/>
  <c r="O14" i="1"/>
  <c r="R12" i="1"/>
  <c r="R14" i="1"/>
  <c r="S12" i="1"/>
  <c r="S14" i="1" s="1"/>
  <c r="T12" i="1"/>
  <c r="T14" i="1"/>
  <c r="U12" i="1"/>
  <c r="U14" i="1"/>
  <c r="V12" i="1"/>
  <c r="V14" i="1"/>
  <c r="W12" i="1"/>
  <c r="W14" i="1" s="1"/>
  <c r="X12" i="1"/>
  <c r="X14" i="1"/>
  <c r="Y12" i="1"/>
  <c r="Y14" i="1"/>
  <c r="Z12" i="1"/>
  <c r="Z14" i="1"/>
  <c r="AA12" i="1"/>
  <c r="AA14" i="1" s="1"/>
  <c r="P12" i="1"/>
  <c r="P14" i="1"/>
  <c r="Q12" i="1"/>
  <c r="Q14" i="1"/>
  <c r="AD12" i="1"/>
  <c r="AD14" i="1"/>
  <c r="AE12" i="1"/>
  <c r="AE14" i="1" s="1"/>
  <c r="AF12" i="1"/>
  <c r="AG12" i="1"/>
  <c r="AG14" i="1" s="1"/>
  <c r="AH12" i="1"/>
  <c r="AH14" i="1" s="1"/>
  <c r="AI12" i="1"/>
  <c r="AI14" i="1" s="1"/>
  <c r="AJ12" i="1"/>
  <c r="AJ14" i="1"/>
  <c r="AK12" i="1"/>
  <c r="AK14" i="1"/>
  <c r="AL12" i="1"/>
  <c r="AL14" i="1"/>
  <c r="AM12" i="1"/>
  <c r="AM14" i="1" s="1"/>
  <c r="AN12" i="1"/>
  <c r="AN14" i="1"/>
  <c r="AO12" i="1"/>
  <c r="AO14" i="1"/>
  <c r="AP12" i="1"/>
  <c r="AP14" i="1"/>
  <c r="AQ14" i="1"/>
  <c r="AR12" i="1"/>
  <c r="AR14" i="1"/>
  <c r="AS12" i="1"/>
  <c r="AS14" i="1" s="1"/>
  <c r="AT12" i="1"/>
  <c r="AT14" i="1" s="1"/>
  <c r="AU12" i="1"/>
  <c r="AU14" i="1" s="1"/>
  <c r="B12" i="1"/>
  <c r="C12" i="1"/>
  <c r="C14" i="1"/>
  <c r="AP34" i="6"/>
  <c r="AP36" i="6"/>
  <c r="AP38" i="6" s="1"/>
  <c r="AQ34" i="6"/>
  <c r="AQ36" i="6" s="1"/>
  <c r="AQ38" i="6" s="1"/>
  <c r="AL34" i="6"/>
  <c r="AM34" i="6"/>
  <c r="AN34" i="6"/>
  <c r="AN36" i="6"/>
  <c r="AN38" i="6" s="1"/>
  <c r="AO34" i="6"/>
  <c r="AO36" i="6" s="1"/>
  <c r="AO38" i="6" s="1"/>
  <c r="M9" i="7"/>
  <c r="M12" i="7"/>
  <c r="AN9" i="7"/>
  <c r="AN12" i="7"/>
  <c r="AN14" i="7" s="1"/>
  <c r="AO9" i="7"/>
  <c r="AO12" i="7"/>
  <c r="AO14" i="7" s="1"/>
  <c r="AP9" i="7"/>
  <c r="AP12" i="7"/>
  <c r="B9" i="7"/>
  <c r="B12" i="7"/>
  <c r="C9" i="7"/>
  <c r="C12" i="7"/>
  <c r="AX10" i="5"/>
  <c r="AX14" i="5" s="1"/>
  <c r="AY10" i="5"/>
  <c r="AY12" i="5"/>
  <c r="H10" i="5"/>
  <c r="I10" i="5"/>
  <c r="I12" i="5"/>
  <c r="J10" i="5"/>
  <c r="J14" i="5"/>
  <c r="K10" i="5"/>
  <c r="K12" i="5" s="1"/>
  <c r="L10" i="5"/>
  <c r="L12" i="5"/>
  <c r="M10" i="5"/>
  <c r="M14" i="5"/>
  <c r="N10" i="5"/>
  <c r="N14" i="5"/>
  <c r="O10" i="5"/>
  <c r="O12" i="5" s="1"/>
  <c r="P10" i="5"/>
  <c r="Q10" i="5"/>
  <c r="Q14" i="5" s="1"/>
  <c r="R10" i="5"/>
  <c r="R12" i="5" s="1"/>
  <c r="S10" i="5"/>
  <c r="S14" i="5" s="1"/>
  <c r="S12" i="5"/>
  <c r="T10" i="5"/>
  <c r="T14" i="5"/>
  <c r="U10" i="5"/>
  <c r="U12" i="5" s="1"/>
  <c r="V10" i="5"/>
  <c r="V12" i="5" s="1"/>
  <c r="W10" i="5"/>
  <c r="W14" i="5"/>
  <c r="X10" i="5"/>
  <c r="X12" i="5" s="1"/>
  <c r="Y10" i="5"/>
  <c r="Y12" i="5" s="1"/>
  <c r="Z10" i="5"/>
  <c r="Z14" i="5" s="1"/>
  <c r="AA10" i="5"/>
  <c r="AA12" i="5"/>
  <c r="AB10" i="5"/>
  <c r="AB14" i="5" s="1"/>
  <c r="AC10" i="5"/>
  <c r="AD10" i="5"/>
  <c r="AD12" i="5"/>
  <c r="AE10" i="5"/>
  <c r="AE12" i="5"/>
  <c r="AF10" i="5"/>
  <c r="AF14" i="5" s="1"/>
  <c r="AG10" i="5"/>
  <c r="AG14" i="5"/>
  <c r="AH10" i="5"/>
  <c r="AH14" i="5"/>
  <c r="AI10" i="5"/>
  <c r="AI14" i="5"/>
  <c r="AJ10" i="5"/>
  <c r="AJ14" i="5" s="1"/>
  <c r="AK10" i="5"/>
  <c r="AK14" i="5"/>
  <c r="AL10" i="5"/>
  <c r="AL14" i="5"/>
  <c r="AM10" i="5"/>
  <c r="AM14" i="5"/>
  <c r="AN10" i="5"/>
  <c r="AO10" i="5"/>
  <c r="AO12" i="5"/>
  <c r="AP10" i="5"/>
  <c r="AP14" i="5"/>
  <c r="AQ10" i="5"/>
  <c r="AQ14" i="5"/>
  <c r="AR10" i="5"/>
  <c r="AS10" i="5"/>
  <c r="AS12" i="5" s="1"/>
  <c r="AT10" i="5"/>
  <c r="AT14" i="5" s="1"/>
  <c r="AU10" i="5"/>
  <c r="AU12" i="5" s="1"/>
  <c r="B10" i="5"/>
  <c r="B12" i="5" s="1"/>
  <c r="C10" i="5"/>
  <c r="D10" i="5"/>
  <c r="D14" i="5"/>
  <c r="E10" i="5"/>
  <c r="E12" i="5"/>
  <c r="F10" i="5"/>
  <c r="F12" i="5"/>
  <c r="G10" i="5"/>
  <c r="G14" i="5" s="1"/>
  <c r="AP26" i="11"/>
  <c r="AQ26" i="11"/>
  <c r="AW15" i="9"/>
  <c r="BA15" i="9" s="1"/>
  <c r="AW12" i="9"/>
  <c r="BA12" i="9" s="1"/>
  <c r="AW11" i="9"/>
  <c r="BA11" i="9" s="1"/>
  <c r="AW10" i="9"/>
  <c r="BA10" i="9" s="1"/>
  <c r="AW8" i="9"/>
  <c r="BA8" i="9" s="1"/>
  <c r="AW7" i="9"/>
  <c r="BA7" i="9" s="1"/>
  <c r="AW6" i="9"/>
  <c r="BA6" i="9"/>
  <c r="AW5" i="9"/>
  <c r="BA5" i="9" s="1"/>
  <c r="AT40" i="11"/>
  <c r="AM40" i="11"/>
  <c r="AL40" i="11"/>
  <c r="AK40" i="11"/>
  <c r="AI40" i="11"/>
  <c r="AH40" i="11"/>
  <c r="AD40" i="11"/>
  <c r="Z40" i="11"/>
  <c r="S40" i="11"/>
  <c r="R40" i="11"/>
  <c r="P40" i="11"/>
  <c r="N40" i="11"/>
  <c r="K40" i="11"/>
  <c r="G40" i="11"/>
  <c r="F40" i="11"/>
  <c r="E40" i="11"/>
  <c r="D40" i="11"/>
  <c r="AW37" i="11"/>
  <c r="BA37" i="11" s="1"/>
  <c r="AV37" i="11"/>
  <c r="AZ37" i="11" s="1"/>
  <c r="AW36" i="11"/>
  <c r="BA36" i="11"/>
  <c r="AV36" i="11"/>
  <c r="AZ36" i="11"/>
  <c r="AW35" i="11"/>
  <c r="BA35" i="11"/>
  <c r="AV35" i="11"/>
  <c r="AZ35" i="11" s="1"/>
  <c r="BA34" i="11"/>
  <c r="AV34" i="11"/>
  <c r="AZ34" i="11" s="1"/>
  <c r="AW33" i="11"/>
  <c r="BA33" i="11" s="1"/>
  <c r="AV33" i="11"/>
  <c r="AZ33" i="11"/>
  <c r="AW32" i="11"/>
  <c r="BA32" i="11"/>
  <c r="AV32" i="11"/>
  <c r="AZ32" i="11"/>
  <c r="AW30" i="11"/>
  <c r="BA30" i="11"/>
  <c r="AV30" i="11"/>
  <c r="AZ30" i="11" s="1"/>
  <c r="AW29" i="11"/>
  <c r="BA29" i="11"/>
  <c r="AV29" i="11"/>
  <c r="AZ29" i="11"/>
  <c r="AW28" i="11"/>
  <c r="BA28" i="11" s="1"/>
  <c r="AV28" i="11"/>
  <c r="AZ28" i="11" s="1"/>
  <c r="AW27" i="11"/>
  <c r="BA27" i="11" s="1"/>
  <c r="AV27" i="11"/>
  <c r="AZ27" i="11"/>
  <c r="AY26" i="11"/>
  <c r="AX26" i="11"/>
  <c r="AT26" i="11"/>
  <c r="AO26" i="11"/>
  <c r="AN26" i="11"/>
  <c r="AM26" i="11"/>
  <c r="AL26" i="11"/>
  <c r="AH26" i="11"/>
  <c r="AE26" i="11"/>
  <c r="AD26" i="11"/>
  <c r="AB26" i="11"/>
  <c r="Z26" i="11"/>
  <c r="W26" i="11"/>
  <c r="P26" i="11"/>
  <c r="O26" i="11"/>
  <c r="H26" i="11"/>
  <c r="AV26" i="11" s="1"/>
  <c r="AZ26" i="11" s="1"/>
  <c r="G26" i="11"/>
  <c r="F26" i="11"/>
  <c r="E26" i="11"/>
  <c r="D26" i="11"/>
  <c r="C26" i="11"/>
  <c r="AW24" i="11"/>
  <c r="BA24" i="11" s="1"/>
  <c r="AV24" i="11"/>
  <c r="AZ24" i="11" s="1"/>
  <c r="AW23" i="11"/>
  <c r="BA23" i="11" s="1"/>
  <c r="AV23" i="11"/>
  <c r="AZ23" i="11"/>
  <c r="AW22" i="11"/>
  <c r="BA22" i="11"/>
  <c r="AV22" i="11"/>
  <c r="AZ22" i="11" s="1"/>
  <c r="AW20" i="11"/>
  <c r="BA20" i="11" s="1"/>
  <c r="AV20" i="11"/>
  <c r="AZ20" i="11"/>
  <c r="AW19" i="11"/>
  <c r="BA19" i="11" s="1"/>
  <c r="AV19" i="11"/>
  <c r="AZ19" i="11" s="1"/>
  <c r="U26" i="11"/>
  <c r="AW17" i="11"/>
  <c r="BA17" i="11" s="1"/>
  <c r="AV17" i="11"/>
  <c r="AZ17" i="11" s="1"/>
  <c r="AW16" i="11"/>
  <c r="BA16" i="11" s="1"/>
  <c r="AV16" i="11"/>
  <c r="AZ16" i="11"/>
  <c r="AW15" i="11"/>
  <c r="BA15" i="11" s="1"/>
  <c r="AV15" i="11"/>
  <c r="AZ15" i="11" s="1"/>
  <c r="AW14" i="11"/>
  <c r="BA14" i="11" s="1"/>
  <c r="AV14" i="11"/>
  <c r="AZ14" i="11"/>
  <c r="AY12" i="11"/>
  <c r="AX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AI12" i="11"/>
  <c r="AH12" i="11"/>
  <c r="AE12" i="11"/>
  <c r="AD12" i="11"/>
  <c r="AC12" i="11"/>
  <c r="AB12" i="11"/>
  <c r="AA12" i="11"/>
  <c r="Y12" i="11"/>
  <c r="W12" i="11"/>
  <c r="V12" i="11"/>
  <c r="U12" i="11"/>
  <c r="T12" i="11"/>
  <c r="S12" i="11"/>
  <c r="R12" i="11"/>
  <c r="Q12" i="11"/>
  <c r="P12" i="11"/>
  <c r="O12" i="11"/>
  <c r="N12" i="11"/>
  <c r="K12" i="11"/>
  <c r="J12" i="11"/>
  <c r="I12" i="11"/>
  <c r="H12" i="11"/>
  <c r="G12" i="11"/>
  <c r="F12" i="11"/>
  <c r="E12" i="11"/>
  <c r="D12" i="11"/>
  <c r="C12" i="11"/>
  <c r="B12" i="11"/>
  <c r="AW11" i="11"/>
  <c r="BA11" i="11" s="1"/>
  <c r="Z12" i="11"/>
  <c r="AW9" i="11"/>
  <c r="BA9" i="11" s="1"/>
  <c r="AV9" i="11"/>
  <c r="AZ9" i="11" s="1"/>
  <c r="AW8" i="11"/>
  <c r="BA8" i="11" s="1"/>
  <c r="AV8" i="11"/>
  <c r="AZ8" i="11"/>
  <c r="AW7" i="11"/>
  <c r="BA7" i="11" s="1"/>
  <c r="AV7" i="11"/>
  <c r="AZ7" i="11" s="1"/>
  <c r="AW6" i="11"/>
  <c r="BA6" i="11"/>
  <c r="AV6" i="11"/>
  <c r="AZ6" i="11"/>
  <c r="AJ40" i="11"/>
  <c r="AV11" i="11"/>
  <c r="AZ11" i="11"/>
  <c r="AW38" i="8"/>
  <c r="BA38" i="8"/>
  <c r="AV38" i="8"/>
  <c r="AZ38" i="8" s="1"/>
  <c r="AW37" i="8"/>
  <c r="BA37" i="8" s="1"/>
  <c r="AV37" i="8"/>
  <c r="AZ37" i="8"/>
  <c r="AW35" i="8"/>
  <c r="AV35" i="8"/>
  <c r="AZ35" i="8"/>
  <c r="AW34" i="8"/>
  <c r="BA34" i="8"/>
  <c r="AV34" i="8"/>
  <c r="AZ34" i="8" s="1"/>
  <c r="AW30" i="8"/>
  <c r="BA30" i="8" s="1"/>
  <c r="AV30" i="8"/>
  <c r="AZ30" i="8"/>
  <c r="AW29" i="8"/>
  <c r="BA29" i="8"/>
  <c r="AV29" i="8"/>
  <c r="AZ29" i="8" s="1"/>
  <c r="AW27" i="8"/>
  <c r="BA27" i="8" s="1"/>
  <c r="AV27" i="8"/>
  <c r="AZ27" i="8"/>
  <c r="AW25" i="8"/>
  <c r="BA25" i="8" s="1"/>
  <c r="AV25" i="8"/>
  <c r="AZ25" i="8" s="1"/>
  <c r="AW24" i="8"/>
  <c r="BA24" i="8" s="1"/>
  <c r="AV24" i="8"/>
  <c r="AZ24" i="8"/>
  <c r="AW23" i="8"/>
  <c r="BA23" i="8" s="1"/>
  <c r="AV23" i="8"/>
  <c r="AZ23" i="8" s="1"/>
  <c r="AW22" i="8"/>
  <c r="BA22" i="8" s="1"/>
  <c r="AV22" i="8"/>
  <c r="AZ22" i="8"/>
  <c r="AW21" i="8"/>
  <c r="AV21" i="8"/>
  <c r="AZ21" i="8" s="1"/>
  <c r="AW20" i="8"/>
  <c r="BA20" i="8" s="1"/>
  <c r="AV20" i="8"/>
  <c r="AZ20" i="8"/>
  <c r="AW19" i="8"/>
  <c r="BA19" i="8" s="1"/>
  <c r="AV19" i="8"/>
  <c r="AZ19" i="8"/>
  <c r="AW18" i="8"/>
  <c r="BA18" i="8"/>
  <c r="AV18" i="8"/>
  <c r="AZ18" i="8"/>
  <c r="AW17" i="8"/>
  <c r="BA17" i="8" s="1"/>
  <c r="AV17" i="8"/>
  <c r="AZ17" i="8" s="1"/>
  <c r="AW16" i="8"/>
  <c r="BA16" i="8"/>
  <c r="AV16" i="8"/>
  <c r="AZ16" i="8"/>
  <c r="AW15" i="8"/>
  <c r="BA15" i="8" s="1"/>
  <c r="AV15" i="8"/>
  <c r="AZ15" i="8" s="1"/>
  <c r="AZ39" i="8" s="1"/>
  <c r="AW14" i="8"/>
  <c r="BA14" i="8"/>
  <c r="AV14" i="8"/>
  <c r="AZ14" i="8" s="1"/>
  <c r="AW13" i="8"/>
  <c r="BA13" i="8" s="1"/>
  <c r="AV13" i="8"/>
  <c r="AZ13" i="8" s="1"/>
  <c r="AW11" i="8"/>
  <c r="BA11" i="8" s="1"/>
  <c r="AV11" i="8"/>
  <c r="AZ11" i="8" s="1"/>
  <c r="AW10" i="8"/>
  <c r="BA10" i="8" s="1"/>
  <c r="AV10" i="8"/>
  <c r="AZ10" i="8"/>
  <c r="AW7" i="8"/>
  <c r="BA7" i="8" s="1"/>
  <c r="AV7" i="8"/>
  <c r="AZ7" i="8" s="1"/>
  <c r="AW6" i="8"/>
  <c r="BA6" i="8" s="1"/>
  <c r="AV6" i="8"/>
  <c r="AZ6" i="8"/>
  <c r="AW5" i="8"/>
  <c r="BA5" i="8" s="1"/>
  <c r="AV5" i="8"/>
  <c r="AZ5" i="8" s="1"/>
  <c r="AY27" i="7"/>
  <c r="AX27" i="7"/>
  <c r="AW26" i="7"/>
  <c r="BA26" i="7"/>
  <c r="AV26" i="7"/>
  <c r="AZ26" i="7" s="1"/>
  <c r="AW25" i="7"/>
  <c r="BA25" i="7" s="1"/>
  <c r="AV25" i="7"/>
  <c r="AZ25" i="7"/>
  <c r="AW24" i="7"/>
  <c r="BA24" i="7"/>
  <c r="AV24" i="7"/>
  <c r="AZ24" i="7" s="1"/>
  <c r="AW23" i="7"/>
  <c r="BA23" i="7" s="1"/>
  <c r="AV23" i="7"/>
  <c r="AZ23" i="7"/>
  <c r="AW22" i="7"/>
  <c r="BA22" i="7"/>
  <c r="AV22" i="7"/>
  <c r="AZ22" i="7" s="1"/>
  <c r="AW21" i="7"/>
  <c r="BA21" i="7" s="1"/>
  <c r="AV21" i="7"/>
  <c r="AZ21" i="7"/>
  <c r="AW20" i="7"/>
  <c r="BA20" i="7"/>
  <c r="AV20" i="7"/>
  <c r="AZ20" i="7" s="1"/>
  <c r="AW19" i="7"/>
  <c r="BA19" i="7" s="1"/>
  <c r="AV19" i="7"/>
  <c r="AZ19" i="7"/>
  <c r="AW18" i="7"/>
  <c r="BA18" i="7"/>
  <c r="AW17" i="7"/>
  <c r="BA17" i="7" s="1"/>
  <c r="AW16" i="7"/>
  <c r="BA16" i="7" s="1"/>
  <c r="AV16" i="7"/>
  <c r="AZ16" i="7"/>
  <c r="AW15" i="7"/>
  <c r="BA15" i="7"/>
  <c r="AV15" i="7"/>
  <c r="AZ15" i="7" s="1"/>
  <c r="AW11" i="7"/>
  <c r="BA11" i="7" s="1"/>
  <c r="AV11" i="7"/>
  <c r="AZ11" i="7"/>
  <c r="AW10" i="7"/>
  <c r="BA10" i="7"/>
  <c r="AV10" i="7"/>
  <c r="AZ10" i="7" s="1"/>
  <c r="AU9" i="7"/>
  <c r="AU12" i="7" s="1"/>
  <c r="AT9" i="7"/>
  <c r="AT12" i="7"/>
  <c r="AT14" i="7" s="1"/>
  <c r="AS9" i="7"/>
  <c r="AS12" i="7" s="1"/>
  <c r="AS14" i="7" s="1"/>
  <c r="AR9" i="7"/>
  <c r="AR12" i="7" s="1"/>
  <c r="AR14" i="7" s="1"/>
  <c r="AQ9" i="7"/>
  <c r="AQ12" i="7" s="1"/>
  <c r="AQ14" i="7"/>
  <c r="AM9" i="7"/>
  <c r="AL9" i="7"/>
  <c r="AK9" i="7"/>
  <c r="AK12" i="7" s="1"/>
  <c r="AK14" i="7" s="1"/>
  <c r="AJ9" i="7"/>
  <c r="AJ12" i="7" s="1"/>
  <c r="AJ14" i="7" s="1"/>
  <c r="AI9" i="7"/>
  <c r="AI12" i="7" s="1"/>
  <c r="AI14" i="7" s="1"/>
  <c r="AH9" i="7"/>
  <c r="AH12" i="7"/>
  <c r="AH14" i="7"/>
  <c r="AG9" i="7"/>
  <c r="AG12" i="7"/>
  <c r="AG14" i="7" s="1"/>
  <c r="AF9" i="7"/>
  <c r="AF12" i="7"/>
  <c r="AF14" i="7" s="1"/>
  <c r="AE9" i="7"/>
  <c r="AE12" i="7"/>
  <c r="AE14" i="7" s="1"/>
  <c r="AD9" i="7"/>
  <c r="AD12" i="7"/>
  <c r="AB9" i="7"/>
  <c r="AA9" i="7"/>
  <c r="AA12" i="7" s="1"/>
  <c r="AA14" i="7" s="1"/>
  <c r="Z9" i="7"/>
  <c r="Z12" i="7" s="1"/>
  <c r="Y9" i="7"/>
  <c r="Y12" i="7" s="1"/>
  <c r="Y14" i="7" s="1"/>
  <c r="X9" i="7"/>
  <c r="W9" i="7"/>
  <c r="W12" i="7"/>
  <c r="V9" i="7"/>
  <c r="V12" i="7" s="1"/>
  <c r="V14" i="7" s="1"/>
  <c r="U9" i="7"/>
  <c r="U12" i="7" s="1"/>
  <c r="T9" i="7"/>
  <c r="T12" i="7" s="1"/>
  <c r="T14" i="7" s="1"/>
  <c r="S9" i="7"/>
  <c r="S12" i="7"/>
  <c r="R9" i="7"/>
  <c r="R12" i="7"/>
  <c r="Q9" i="7"/>
  <c r="Q12" i="7" s="1"/>
  <c r="P9" i="7"/>
  <c r="O9" i="7"/>
  <c r="O12" i="7"/>
  <c r="N9" i="7"/>
  <c r="L9" i="7"/>
  <c r="L12" i="7"/>
  <c r="K9" i="7"/>
  <c r="K12" i="7" s="1"/>
  <c r="J9" i="7"/>
  <c r="J12" i="7" s="1"/>
  <c r="J14" i="7" s="1"/>
  <c r="I9" i="7"/>
  <c r="I12" i="7"/>
  <c r="H9" i="7"/>
  <c r="H12" i="7"/>
  <c r="G9" i="7"/>
  <c r="F9" i="7"/>
  <c r="F12" i="7" s="1"/>
  <c r="E9" i="7"/>
  <c r="E12" i="7"/>
  <c r="D9" i="7"/>
  <c r="D12" i="7"/>
  <c r="D14" i="7" s="1"/>
  <c r="AV8" i="7"/>
  <c r="AZ8" i="7" s="1"/>
  <c r="AV7" i="7"/>
  <c r="AZ7" i="7" s="1"/>
  <c r="AV6" i="7"/>
  <c r="AZ6" i="7"/>
  <c r="AM38" i="6"/>
  <c r="AL38" i="6"/>
  <c r="Y38" i="6"/>
  <c r="X38" i="6"/>
  <c r="AK34" i="6"/>
  <c r="AK36" i="6" s="1"/>
  <c r="AK38" i="6" s="1"/>
  <c r="AJ34" i="6"/>
  <c r="AJ36" i="6" s="1"/>
  <c r="AJ38" i="6" s="1"/>
  <c r="AI34" i="6"/>
  <c r="AI36" i="6"/>
  <c r="AI38" i="6" s="1"/>
  <c r="AH34" i="6"/>
  <c r="AH36" i="6" s="1"/>
  <c r="AH38" i="6" s="1"/>
  <c r="AG34" i="6"/>
  <c r="AG36" i="6" s="1"/>
  <c r="AG38" i="6" s="1"/>
  <c r="AF34" i="6"/>
  <c r="AF36" i="6" s="1"/>
  <c r="AF38" i="6" s="1"/>
  <c r="AE34" i="6"/>
  <c r="AE36" i="6"/>
  <c r="AE38" i="6"/>
  <c r="AD34" i="6"/>
  <c r="AD36" i="6"/>
  <c r="AD38" i="6"/>
  <c r="AC34" i="6"/>
  <c r="AC36" i="6"/>
  <c r="AC38" i="6" s="1"/>
  <c r="AB34" i="6"/>
  <c r="AB36" i="6"/>
  <c r="AB38" i="6" s="1"/>
  <c r="AA34" i="6"/>
  <c r="AA36" i="6"/>
  <c r="AA38" i="6" s="1"/>
  <c r="Z34" i="6"/>
  <c r="Z36" i="6" s="1"/>
  <c r="Z38" i="6" s="1"/>
  <c r="Y34" i="6"/>
  <c r="X34" i="6"/>
  <c r="W34" i="6"/>
  <c r="W36" i="6"/>
  <c r="W38" i="6" s="1"/>
  <c r="V34" i="6"/>
  <c r="V36" i="6"/>
  <c r="V38" i="6" s="1"/>
  <c r="S34" i="6"/>
  <c r="S36" i="6"/>
  <c r="R34" i="6"/>
  <c r="R36" i="6"/>
  <c r="Q34" i="6"/>
  <c r="Q36" i="6"/>
  <c r="P34" i="6"/>
  <c r="P36" i="6" s="1"/>
  <c r="P38" i="6" s="1"/>
  <c r="O34" i="6"/>
  <c r="O36" i="6"/>
  <c r="N34" i="6"/>
  <c r="N36" i="6"/>
  <c r="M34" i="6"/>
  <c r="M36" i="6"/>
  <c r="L34" i="6"/>
  <c r="L36" i="6" s="1"/>
  <c r="L38" i="6" s="1"/>
  <c r="K34" i="6"/>
  <c r="K36" i="6"/>
  <c r="K38" i="6" s="1"/>
  <c r="J34" i="6"/>
  <c r="J36" i="6" s="1"/>
  <c r="J38" i="6" s="1"/>
  <c r="H34" i="6"/>
  <c r="H36" i="6" s="1"/>
  <c r="H38" i="6" s="1"/>
  <c r="G34" i="6"/>
  <c r="G36" i="6" s="1"/>
  <c r="G38" i="6" s="1"/>
  <c r="F34" i="6"/>
  <c r="F36" i="6"/>
  <c r="E34" i="6"/>
  <c r="D34" i="6"/>
  <c r="D36" i="6"/>
  <c r="D38" i="6" s="1"/>
  <c r="C34" i="6"/>
  <c r="C36" i="6"/>
  <c r="B34" i="6"/>
  <c r="B36" i="6" s="1"/>
  <c r="AW30" i="6"/>
  <c r="BA30" i="6" s="1"/>
  <c r="AV30" i="6"/>
  <c r="AZ30" i="6"/>
  <c r="AW28" i="6"/>
  <c r="BA28" i="6"/>
  <c r="AV28" i="6"/>
  <c r="AZ28" i="6" s="1"/>
  <c r="AV27" i="6"/>
  <c r="AZ27" i="6" s="1"/>
  <c r="AW24" i="6"/>
  <c r="BA24" i="6"/>
  <c r="AV24" i="6"/>
  <c r="AZ24" i="6"/>
  <c r="AW21" i="6"/>
  <c r="BA21" i="6" s="1"/>
  <c r="AV21" i="6"/>
  <c r="AZ21" i="6" s="1"/>
  <c r="AW20" i="6"/>
  <c r="BA20" i="6"/>
  <c r="AV20" i="6"/>
  <c r="AZ20" i="6"/>
  <c r="AW19" i="6"/>
  <c r="BA19" i="6" s="1"/>
  <c r="AV19" i="6"/>
  <c r="AZ19" i="6" s="1"/>
  <c r="AW18" i="6"/>
  <c r="BA18" i="6"/>
  <c r="AV18" i="6"/>
  <c r="AZ18" i="6"/>
  <c r="AW17" i="6"/>
  <c r="BA17" i="6" s="1"/>
  <c r="AV17" i="6"/>
  <c r="AZ17" i="6" s="1"/>
  <c r="AZ16" i="6"/>
  <c r="AW15" i="6"/>
  <c r="BA15" i="6" s="1"/>
  <c r="AV15" i="6"/>
  <c r="AZ15" i="6"/>
  <c r="AW14" i="6"/>
  <c r="BA14" i="6"/>
  <c r="AV14" i="6"/>
  <c r="AZ14" i="6"/>
  <c r="AW13" i="6"/>
  <c r="BA13" i="6" s="1"/>
  <c r="AV13" i="6"/>
  <c r="AZ13" i="6"/>
  <c r="AW12" i="6"/>
  <c r="BA12" i="6"/>
  <c r="AV12" i="6"/>
  <c r="AZ12" i="6"/>
  <c r="AV11" i="6"/>
  <c r="AZ11" i="6" s="1"/>
  <c r="AW8" i="6"/>
  <c r="BA8" i="6"/>
  <c r="AV8" i="6"/>
  <c r="AZ8" i="6"/>
  <c r="AW7" i="6"/>
  <c r="BA7" i="6"/>
  <c r="AV7" i="6"/>
  <c r="AZ7" i="6" s="1"/>
  <c r="AW6" i="6"/>
  <c r="BA6" i="6" s="1"/>
  <c r="AV6" i="6"/>
  <c r="AZ6" i="6"/>
  <c r="AW9" i="5"/>
  <c r="BA9" i="5"/>
  <c r="AV9" i="5"/>
  <c r="AZ9" i="5" s="1"/>
  <c r="AW8" i="5"/>
  <c r="BA8" i="5"/>
  <c r="AV8" i="5"/>
  <c r="AZ8" i="5"/>
  <c r="AV7" i="5"/>
  <c r="AZ7" i="5"/>
  <c r="AW19" i="4"/>
  <c r="BA19" i="4" s="1"/>
  <c r="AV19" i="4"/>
  <c r="AZ19" i="4"/>
  <c r="AW17" i="4"/>
  <c r="BA17" i="4"/>
  <c r="AV17" i="4"/>
  <c r="AZ17" i="4" s="1"/>
  <c r="AW16" i="4"/>
  <c r="BA16" i="4" s="1"/>
  <c r="AV16" i="4"/>
  <c r="AZ16" i="4"/>
  <c r="AW15" i="4"/>
  <c r="BA15" i="4"/>
  <c r="AV15" i="4"/>
  <c r="AZ15" i="4" s="1"/>
  <c r="AW14" i="4"/>
  <c r="BA14" i="4" s="1"/>
  <c r="AV14" i="4"/>
  <c r="AZ14" i="4"/>
  <c r="AW11" i="4"/>
  <c r="BA11" i="4"/>
  <c r="AV11" i="4"/>
  <c r="AZ11" i="4" s="1"/>
  <c r="AW10" i="4"/>
  <c r="BA10" i="4" s="1"/>
  <c r="AV10" i="4"/>
  <c r="AZ10" i="4" s="1"/>
  <c r="AW9" i="4"/>
  <c r="BA9" i="4"/>
  <c r="AV9" i="4"/>
  <c r="AZ9" i="4" s="1"/>
  <c r="AW8" i="4"/>
  <c r="BA8" i="4" s="1"/>
  <c r="AV8" i="4"/>
  <c r="AZ8" i="4"/>
  <c r="AW7" i="4"/>
  <c r="BA7" i="4" s="1"/>
  <c r="AV7" i="4"/>
  <c r="AZ7" i="4" s="1"/>
  <c r="AW6" i="4"/>
  <c r="BA6" i="4" s="1"/>
  <c r="AV6" i="4"/>
  <c r="AZ6" i="4" s="1"/>
  <c r="AW5" i="4"/>
  <c r="BA5" i="4" s="1"/>
  <c r="AV5" i="4"/>
  <c r="AZ5" i="4" s="1"/>
  <c r="AW20" i="3"/>
  <c r="BA20" i="3" s="1"/>
  <c r="AV20" i="3"/>
  <c r="AZ20" i="3" s="1"/>
  <c r="AW17" i="3"/>
  <c r="BA17" i="3" s="1"/>
  <c r="AV17" i="3"/>
  <c r="AZ17" i="3" s="1"/>
  <c r="AW16" i="3"/>
  <c r="BA16" i="3" s="1"/>
  <c r="AV16" i="3"/>
  <c r="AZ16" i="3" s="1"/>
  <c r="AW15" i="3"/>
  <c r="BA15" i="3" s="1"/>
  <c r="AV15" i="3"/>
  <c r="AZ15" i="3" s="1"/>
  <c r="AW14" i="3"/>
  <c r="BA14" i="3" s="1"/>
  <c r="AV14" i="3"/>
  <c r="AZ14" i="3"/>
  <c r="AW11" i="3"/>
  <c r="BA11" i="3" s="1"/>
  <c r="AV11" i="3"/>
  <c r="AZ11" i="3" s="1"/>
  <c r="AW10" i="3"/>
  <c r="BA10" i="3" s="1"/>
  <c r="AV10" i="3"/>
  <c r="AZ10" i="3"/>
  <c r="AW9" i="3"/>
  <c r="BA9" i="3" s="1"/>
  <c r="AV9" i="3"/>
  <c r="AZ9" i="3" s="1"/>
  <c r="AW8" i="3"/>
  <c r="BA8" i="3" s="1"/>
  <c r="AV8" i="3"/>
  <c r="AZ8" i="3"/>
  <c r="AW7" i="3"/>
  <c r="BA7" i="3" s="1"/>
  <c r="AV7" i="3"/>
  <c r="AZ7" i="3" s="1"/>
  <c r="AW6" i="3"/>
  <c r="BA6" i="3" s="1"/>
  <c r="AV6" i="3"/>
  <c r="AZ6" i="3"/>
  <c r="AW5" i="3"/>
  <c r="BA5" i="3" s="1"/>
  <c r="AV5" i="3"/>
  <c r="AZ5" i="3" s="1"/>
  <c r="AW9" i="9"/>
  <c r="BA9" i="9" s="1"/>
  <c r="AV22" i="6"/>
  <c r="AZ22" i="6"/>
  <c r="AW26" i="8"/>
  <c r="BA26" i="8" s="1"/>
  <c r="AU39" i="8"/>
  <c r="AW33" i="8"/>
  <c r="BA33" i="8" s="1"/>
  <c r="AV8" i="8"/>
  <c r="AZ8" i="8"/>
  <c r="AW31" i="8"/>
  <c r="BA31" i="8" s="1"/>
  <c r="X14" i="5"/>
  <c r="Z12" i="5"/>
  <c r="V14" i="5"/>
  <c r="AF12" i="11"/>
  <c r="AW10" i="11"/>
  <c r="BA10" i="11" s="1"/>
  <c r="L12" i="11"/>
  <c r="AV5" i="11"/>
  <c r="AZ5" i="11" s="1"/>
  <c r="AF26" i="11"/>
  <c r="U40" i="11"/>
  <c r="AW40" i="11"/>
  <c r="AW5" i="11"/>
  <c r="BA5" i="11" s="1"/>
  <c r="M12" i="11"/>
  <c r="I14" i="5"/>
  <c r="O42" i="18"/>
  <c r="C14" i="2"/>
  <c r="AS42" i="18"/>
  <c r="K26" i="11"/>
  <c r="D20" i="4"/>
  <c r="AW27" i="6"/>
  <c r="BA27" i="6" s="1"/>
  <c r="I34" i="6"/>
  <c r="I36" i="6" s="1"/>
  <c r="I38" i="6" s="1"/>
  <c r="P14" i="5"/>
  <c r="P12" i="5"/>
  <c r="AE21" i="17"/>
  <c r="AE23" i="17"/>
  <c r="AC23" i="17"/>
  <c r="D12" i="5"/>
  <c r="AV28" i="8"/>
  <c r="AZ28" i="8"/>
  <c r="E14" i="5"/>
  <c r="T12" i="5"/>
  <c r="F14" i="5"/>
  <c r="AQ12" i="5"/>
  <c r="E14" i="1"/>
  <c r="S20" i="4"/>
  <c r="B14" i="1"/>
  <c r="AV31" i="11"/>
  <c r="AZ31" i="11" s="1"/>
  <c r="AZ40" i="11" s="1"/>
  <c r="AV26" i="8"/>
  <c r="AZ26" i="8" s="1"/>
  <c r="M26" i="11"/>
  <c r="AT12" i="5"/>
  <c r="AA21" i="17"/>
  <c r="N12" i="5"/>
  <c r="I23" i="17"/>
  <c r="I21" i="17"/>
  <c r="AV36" i="8"/>
  <c r="AZ36" i="8" s="1"/>
  <c r="K21" i="17"/>
  <c r="C21" i="17"/>
  <c r="G23" i="17"/>
  <c r="S23" i="17"/>
  <c r="Y22" i="18"/>
  <c r="Y25" i="18"/>
  <c r="Y32" i="18"/>
  <c r="R14" i="5"/>
  <c r="J12" i="5"/>
  <c r="AB12" i="5"/>
  <c r="Q12" i="5"/>
  <c r="AL12" i="5"/>
  <c r="C23" i="17"/>
  <c r="AX38" i="19"/>
  <c r="BB38" i="19" s="1"/>
  <c r="H19" i="18"/>
  <c r="M14" i="2"/>
  <c r="M12" i="5"/>
  <c r="AX12" i="5"/>
  <c r="G12" i="5"/>
  <c r="X12" i="7"/>
  <c r="X14" i="7" s="1"/>
  <c r="AF13" i="18"/>
  <c r="AV9" i="18"/>
  <c r="AZ9" i="18" s="1"/>
  <c r="AF19" i="18"/>
  <c r="AF25" i="18" s="1"/>
  <c r="AF32" i="18" s="1"/>
  <c r="AF12" i="5"/>
  <c r="AF14" i="1"/>
  <c r="U14" i="5"/>
  <c r="V26" i="11"/>
  <c r="AV18" i="11"/>
  <c r="AZ18" i="11"/>
  <c r="N26" i="11"/>
  <c r="AS34" i="6"/>
  <c r="AS36" i="6" s="1"/>
  <c r="AS38" i="6" s="1"/>
  <c r="AW22" i="6"/>
  <c r="BA22" i="6"/>
  <c r="AX17" i="19"/>
  <c r="BB17" i="19" s="1"/>
  <c r="AV12" i="8"/>
  <c r="AZ12" i="8" s="1"/>
  <c r="R39" i="8"/>
  <c r="AR14" i="5"/>
  <c r="AR12" i="5"/>
  <c r="AM12" i="5"/>
  <c r="AT34" i="6"/>
  <c r="AT36" i="6"/>
  <c r="AT38" i="6" s="1"/>
  <c r="AV10" i="6"/>
  <c r="AZ10" i="6" s="1"/>
  <c r="H12" i="5"/>
  <c r="H14" i="5"/>
  <c r="Z39" i="8"/>
  <c r="AV9" i="8"/>
  <c r="AZ9" i="8"/>
  <c r="J20" i="4"/>
  <c r="AM21" i="17"/>
  <c r="AI23" i="17"/>
  <c r="AG23" i="17"/>
  <c r="M21" i="17"/>
  <c r="O21" i="17"/>
  <c r="H20" i="4"/>
  <c r="J42" i="18"/>
  <c r="AK12" i="5"/>
  <c r="O14" i="5"/>
  <c r="L14" i="5"/>
  <c r="K14" i="5"/>
  <c r="B14" i="5"/>
  <c r="C20" i="4"/>
  <c r="AW20" i="4"/>
  <c r="BA20" i="4" s="1"/>
  <c r="E20" i="4"/>
  <c r="AV19" i="3"/>
  <c r="AZ19" i="3" s="1"/>
  <c r="F20" i="4"/>
  <c r="AV20" i="4" s="1"/>
  <c r="AZ20" i="4"/>
  <c r="AW18" i="4"/>
  <c r="BA18" i="4"/>
  <c r="E36" i="6"/>
  <c r="E38" i="6" s="1"/>
  <c r="E14" i="7"/>
  <c r="F38" i="6"/>
  <c r="AV38" i="6" s="1"/>
  <c r="AZ38" i="6" s="1"/>
  <c r="AV69" i="27"/>
  <c r="AZ69" i="27" s="1"/>
  <c r="Y8" i="23"/>
  <c r="AA8" i="23" s="1"/>
  <c r="C38" i="6"/>
  <c r="E23" i="17"/>
  <c r="AS21" i="17"/>
  <c r="AU21" i="17"/>
  <c r="AW13" i="18"/>
  <c r="BA13" i="18" s="1"/>
  <c r="E42" i="18"/>
  <c r="J26" i="11"/>
  <c r="B38" i="6"/>
  <c r="AT39" i="8"/>
  <c r="AV31" i="8"/>
  <c r="AZ31" i="8"/>
  <c r="AV18" i="4"/>
  <c r="AZ18" i="4"/>
  <c r="AU14" i="5"/>
  <c r="B14" i="22"/>
  <c r="Y12" i="22"/>
  <c r="AA12" i="22" s="1"/>
  <c r="L42" i="18"/>
  <c r="L38" i="18"/>
  <c r="M38" i="6"/>
  <c r="BA21" i="8"/>
  <c r="N12" i="7"/>
  <c r="N14" i="7" s="1"/>
  <c r="O38" i="6"/>
  <c r="N38" i="6"/>
  <c r="S25" i="18"/>
  <c r="AW31" i="11"/>
  <c r="BA31" i="11" s="1"/>
  <c r="BA40" i="11" s="1"/>
  <c r="P12" i="7"/>
  <c r="AV12" i="7" s="1"/>
  <c r="AZ12" i="7" s="1"/>
  <c r="Q38" i="6"/>
  <c r="S32" i="18"/>
  <c r="AW38" i="18"/>
  <c r="BA38" i="18" s="1"/>
  <c r="Q42" i="18"/>
  <c r="T27" i="7"/>
  <c r="AV27" i="7"/>
  <c r="AZ27" i="7" s="1"/>
  <c r="U21" i="17"/>
  <c r="AP12" i="5"/>
  <c r="AJ12" i="5"/>
  <c r="AD14" i="5"/>
  <c r="W12" i="5"/>
  <c r="AY14" i="5"/>
  <c r="AU14" i="7"/>
  <c r="AS14" i="5"/>
  <c r="AO14" i="5"/>
  <c r="AI12" i="5"/>
  <c r="AH12" i="5"/>
  <c r="AG12" i="5"/>
  <c r="AW27" i="7"/>
  <c r="BA27" i="7" s="1"/>
  <c r="AV9" i="7"/>
  <c r="AZ9" i="7" s="1"/>
  <c r="AE14" i="5"/>
  <c r="AW10" i="5"/>
  <c r="BA10" i="5" s="1"/>
  <c r="AB12" i="7"/>
  <c r="AB14" i="7" s="1"/>
  <c r="AC12" i="5"/>
  <c r="AC14" i="5"/>
  <c r="AV10" i="5"/>
  <c r="AZ10" i="5"/>
  <c r="AA14" i="5"/>
  <c r="Y14" i="5"/>
  <c r="S38" i="6"/>
  <c r="R38" i="6"/>
  <c r="AV36" i="6"/>
  <c r="AZ36" i="6" s="1"/>
  <c r="AV34" i="6"/>
  <c r="AZ34" i="6" s="1"/>
  <c r="AV5" i="27"/>
  <c r="AZ5" i="27" s="1"/>
  <c r="W25" i="18"/>
  <c r="W32" i="18" s="1"/>
  <c r="AV12" i="11"/>
  <c r="AZ12" i="11" s="1"/>
  <c r="AV13" i="11"/>
  <c r="AZ13" i="11" s="1"/>
  <c r="BA19" i="19"/>
  <c r="AW8" i="19"/>
  <c r="BA8" i="19" s="1"/>
  <c r="AQ21" i="17"/>
  <c r="AW17" i="17"/>
  <c r="BA17" i="17" s="1"/>
  <c r="AV19" i="18"/>
  <c r="AZ19" i="18" s="1"/>
  <c r="AV25" i="18"/>
  <c r="AZ25" i="18" s="1"/>
  <c r="AW14" i="9"/>
  <c r="BA14" i="9" s="1"/>
  <c r="AO23" i="17"/>
  <c r="AW36" i="8"/>
  <c r="BA36" i="8" s="1"/>
  <c r="AV68" i="27"/>
  <c r="AZ68" i="27" s="1"/>
  <c r="AK26" i="11"/>
  <c r="AW18" i="11"/>
  <c r="BA18" i="11" s="1"/>
  <c r="AW12" i="11"/>
  <c r="BA12" i="11" s="1"/>
  <c r="AW52" i="27"/>
  <c r="BA52" i="27" s="1"/>
  <c r="AW10" i="27"/>
  <c r="BA10" i="27" s="1"/>
  <c r="Y14" i="22"/>
  <c r="AA14" i="22" s="1"/>
  <c r="AK25" i="18"/>
  <c r="AV22" i="18"/>
  <c r="AZ22" i="18"/>
  <c r="AV13" i="18"/>
  <c r="AZ13" i="18" s="1"/>
  <c r="AW12" i="2"/>
  <c r="BA12" i="2" s="1"/>
  <c r="AV12" i="1"/>
  <c r="AZ12" i="1"/>
  <c r="BA35" i="8"/>
  <c r="AV39" i="8"/>
  <c r="AI53" i="27"/>
  <c r="AI26" i="11"/>
  <c r="AW21" i="11"/>
  <c r="BA21" i="11" s="1"/>
  <c r="AK32" i="18"/>
  <c r="AW14" i="2" l="1"/>
  <c r="BA14" i="2" s="1"/>
  <c r="AW19" i="18"/>
  <c r="BA19" i="18" s="1"/>
  <c r="AS22" i="18"/>
  <c r="AS25" i="18" s="1"/>
  <c r="AS32" i="18" s="1"/>
  <c r="AW39" i="8"/>
  <c r="AW53" i="27"/>
  <c r="BA53" i="27" s="1"/>
  <c r="AX19" i="19"/>
  <c r="BB19" i="19" s="1"/>
  <c r="AV32" i="18"/>
  <c r="AZ32" i="18" s="1"/>
  <c r="AF42" i="18"/>
  <c r="AV42" i="18" s="1"/>
  <c r="AZ42" i="18" s="1"/>
  <c r="BA39" i="8"/>
  <c r="AW21" i="17"/>
  <c r="BA21" i="17" s="1"/>
  <c r="I25" i="18"/>
  <c r="AW22" i="18"/>
  <c r="BA22" i="18" s="1"/>
  <c r="G12" i="7"/>
  <c r="AW9" i="7"/>
  <c r="BA9" i="7" s="1"/>
  <c r="C12" i="5"/>
  <c r="AW12" i="5" s="1"/>
  <c r="BA12" i="5" s="1"/>
  <c r="C14" i="5"/>
  <c r="AW14" i="5" s="1"/>
  <c r="BA14" i="5" s="1"/>
  <c r="P14" i="2"/>
  <c r="AV14" i="2" s="1"/>
  <c r="AZ14" i="2" s="1"/>
  <c r="AV12" i="2"/>
  <c r="AZ12" i="2" s="1"/>
  <c r="AV38" i="18"/>
  <c r="AZ38" i="18" s="1"/>
  <c r="AW10" i="6"/>
  <c r="BA10" i="6" s="1"/>
  <c r="AU34" i="6"/>
  <c r="AU36" i="6" s="1"/>
  <c r="AU38" i="6" s="1"/>
  <c r="AW38" i="6" s="1"/>
  <c r="BA38" i="6" s="1"/>
  <c r="Y26" i="11"/>
  <c r="AW26" i="11" s="1"/>
  <c r="BA26" i="11" s="1"/>
  <c r="AW13" i="11"/>
  <c r="BA13" i="11" s="1"/>
  <c r="Q21" i="17"/>
  <c r="Q23" i="17"/>
  <c r="AW23" i="17" s="1"/>
  <c r="BA23" i="17" s="1"/>
  <c r="AW36" i="6"/>
  <c r="BA36" i="6" s="1"/>
  <c r="AV40" i="11"/>
  <c r="AN12" i="5"/>
  <c r="AV12" i="5" s="1"/>
  <c r="AZ12" i="5" s="1"/>
  <c r="AN14" i="5"/>
  <c r="AV14" i="5" s="1"/>
  <c r="AZ14" i="5" s="1"/>
  <c r="AV52" i="27"/>
  <c r="AZ52" i="27" s="1"/>
  <c r="T53" i="27"/>
  <c r="AV53" i="27" s="1"/>
  <c r="AZ53" i="27" s="1"/>
  <c r="I14" i="1"/>
  <c r="AW14" i="1" s="1"/>
  <c r="BA14" i="1" s="1"/>
  <c r="AW12" i="1"/>
  <c r="BA12" i="1" s="1"/>
  <c r="O21" i="3"/>
  <c r="AW19" i="3"/>
  <c r="BA19" i="3" s="1"/>
  <c r="AV21" i="11"/>
  <c r="AZ21" i="11" s="1"/>
  <c r="AW21" i="3"/>
  <c r="BA21" i="3" s="1"/>
  <c r="AV21" i="3"/>
  <c r="AZ21" i="3" s="1"/>
  <c r="AX8" i="19"/>
  <c r="BB8" i="19" s="1"/>
  <c r="AW34" i="6" l="1"/>
  <c r="BA34" i="6" s="1"/>
  <c r="AW12" i="7"/>
  <c r="BA12" i="7" s="1"/>
  <c r="G14" i="7"/>
  <c r="I32" i="18"/>
  <c r="AW32" i="18" s="1"/>
  <c r="BA32" i="18" s="1"/>
  <c r="AW25" i="18"/>
  <c r="BA25" i="18" s="1"/>
</calcChain>
</file>

<file path=xl/sharedStrings.xml><?xml version="1.0" encoding="utf-8"?>
<sst xmlns="http://schemas.openxmlformats.org/spreadsheetml/2006/main" count="1733" uniqueCount="445">
  <si>
    <t>Particulars</t>
  </si>
  <si>
    <t>Private Total</t>
  </si>
  <si>
    <t>Grand Total</t>
  </si>
  <si>
    <t>Individual agents</t>
  </si>
  <si>
    <t>Corporate Agents-Banks</t>
  </si>
  <si>
    <t>Corporate Agents -Others</t>
  </si>
  <si>
    <t>Brokers</t>
  </si>
  <si>
    <t>Micro Agents</t>
  </si>
  <si>
    <t>Direct Business</t>
  </si>
  <si>
    <t>Others (only)</t>
  </si>
  <si>
    <t>Total(A)</t>
  </si>
  <si>
    <t>Referral  (B)</t>
  </si>
  <si>
    <t>Grand Total (A+B)</t>
  </si>
  <si>
    <t>L37:BUSINESS ACQUISITION THROUGH DIFFERENT CHANNELS (GROUP) Lives</t>
  </si>
  <si>
    <t>Channels</t>
  </si>
  <si>
    <t>CSC</t>
  </si>
  <si>
    <t>POS</t>
  </si>
  <si>
    <t>IMF</t>
  </si>
  <si>
    <t>Online</t>
  </si>
  <si>
    <t>Web Aggregators</t>
  </si>
  <si>
    <t>Total (A)</t>
  </si>
  <si>
    <t>Premiums earned - Net</t>
  </si>
  <si>
    <t>(a) Premium</t>
  </si>
  <si>
    <t>Direct   -  First year premiums</t>
  </si>
  <si>
    <t xml:space="preserve">           -  Renewal premiums</t>
  </si>
  <si>
    <t xml:space="preserve">           -  Single premiums</t>
  </si>
  <si>
    <t>Total premium</t>
  </si>
  <si>
    <t>Premium Income from business written:</t>
  </si>
  <si>
    <t>- In India</t>
  </si>
  <si>
    <t>- Outside India</t>
  </si>
  <si>
    <t>Insurance claims</t>
  </si>
  <si>
    <t>(a) Claims by death</t>
  </si>
  <si>
    <t>(b) Claims by maturity</t>
  </si>
  <si>
    <t>(c) Annuities  /  Pension payment</t>
  </si>
  <si>
    <t>(d) Others</t>
  </si>
  <si>
    <t>Survival Benefits</t>
  </si>
  <si>
    <t xml:space="preserve">- Surrender </t>
  </si>
  <si>
    <t xml:space="preserve">- Discontinuance/Lapsed Termination </t>
  </si>
  <si>
    <t xml:space="preserve">- Withdrawals </t>
  </si>
  <si>
    <t xml:space="preserve">- Rider </t>
  </si>
  <si>
    <t xml:space="preserve">- Health </t>
  </si>
  <si>
    <t>Lumpsum Benefit/Income Benefit(Installment)</t>
  </si>
  <si>
    <t>Bonus to Policyholders</t>
  </si>
  <si>
    <t>Vesting of pension policy</t>
  </si>
  <si>
    <t>Waiver of Premium</t>
  </si>
  <si>
    <t xml:space="preserve">- Interest on unclaimed amounts  </t>
  </si>
  <si>
    <t>Claim Investigation Fees</t>
  </si>
  <si>
    <t xml:space="preserve">- Others </t>
  </si>
  <si>
    <t>(Amount ceded in reinsurance)</t>
  </si>
  <si>
    <t>(c) Annuities  /  pension payment</t>
  </si>
  <si>
    <t>(d) Other benefits/Health</t>
  </si>
  <si>
    <t>(e) Riders</t>
  </si>
  <si>
    <t>Amount accepted in reinsurance</t>
  </si>
  <si>
    <t>(d) Other benefits</t>
  </si>
  <si>
    <t>Total</t>
  </si>
  <si>
    <t>Benefits paid to Claimants</t>
  </si>
  <si>
    <t>In India</t>
  </si>
  <si>
    <t>Outside India</t>
  </si>
  <si>
    <t>L4:PREMIUM SCHEDULE</t>
  </si>
  <si>
    <t>Commission</t>
  </si>
  <si>
    <t>Direct    -  First year premiums</t>
  </si>
  <si>
    <t xml:space="preserve">              -  Renewal premiums</t>
  </si>
  <si>
    <t xml:space="preserve">              -  Single premiums</t>
  </si>
  <si>
    <t>Add: Commission on Re-insurance accepted</t>
  </si>
  <si>
    <t>Less: Commission on Re-insurance ceded</t>
  </si>
  <si>
    <t xml:space="preserve">Break-up of the commission expenses (Gross) </t>
  </si>
  <si>
    <t>incurred to procure business:</t>
  </si>
  <si>
    <t>Agents</t>
  </si>
  <si>
    <t>Corporate agency</t>
  </si>
  <si>
    <t>Bancassurance</t>
  </si>
  <si>
    <t>Micro Insurance Agent</t>
  </si>
  <si>
    <t>Web Aggregator</t>
  </si>
  <si>
    <t>Referral</t>
  </si>
  <si>
    <t>Others</t>
  </si>
  <si>
    <t xml:space="preserve">Employees' remuneration &amp; welfare benefits </t>
  </si>
  <si>
    <t>Travel, conveyance and vehicle running expenses</t>
  </si>
  <si>
    <t>Training expenses</t>
  </si>
  <si>
    <t xml:space="preserve">Rent, rates &amp; taxes </t>
  </si>
  <si>
    <t>Repairs</t>
  </si>
  <si>
    <t>Printing &amp; stationery</t>
  </si>
  <si>
    <t>Communication expenses</t>
  </si>
  <si>
    <t>Legal &amp; professional charges</t>
  </si>
  <si>
    <t>Medical fees</t>
  </si>
  <si>
    <t>Auditors' fees,expenses,etc.</t>
  </si>
  <si>
    <t>(a) as auditor</t>
  </si>
  <si>
    <t>(b) as adviser or in any other capacity,in respect of</t>
  </si>
  <si>
    <t xml:space="preserve">      (i) Taxation matters</t>
  </si>
  <si>
    <t xml:space="preserve">      (ii) Insurance matters</t>
  </si>
  <si>
    <t xml:space="preserve">      (iii)Management services; certification fee</t>
  </si>
  <si>
    <t>(c) in any other capacity</t>
  </si>
  <si>
    <t xml:space="preserve">(d) Out of pocket expenses </t>
  </si>
  <si>
    <t>Advertisement, Publicity and marketing</t>
  </si>
  <si>
    <t>Interest &amp; bank charges</t>
  </si>
  <si>
    <t xml:space="preserve">Agent Recruitment expenses </t>
  </si>
  <si>
    <t>Information technology expenses</t>
  </si>
  <si>
    <t>Goods and Service Tax/ Service Tax</t>
  </si>
  <si>
    <t>Stamp duty on policies</t>
  </si>
  <si>
    <t>Depreciation</t>
  </si>
  <si>
    <t>(Profit)/Loss on sale of Assests</t>
  </si>
  <si>
    <t>Distribution Expenses</t>
  </si>
  <si>
    <t>Business promotion expenses</t>
  </si>
  <si>
    <t>Business Processing Services</t>
  </si>
  <si>
    <t xml:space="preserve">Office Expenses </t>
  </si>
  <si>
    <t>Electricity</t>
  </si>
  <si>
    <t xml:space="preserve">Recruitment expenses </t>
  </si>
  <si>
    <t>Other expenses</t>
  </si>
  <si>
    <t>outsourcing expenses</t>
  </si>
  <si>
    <t>Contribution from Sharehoders Account towards Expense of Management</t>
  </si>
  <si>
    <t>L-32:SOLVENCY MARGIN</t>
  </si>
  <si>
    <t>Description</t>
  </si>
  <si>
    <t>Available Assets in Policyholders' Fund:</t>
  </si>
  <si>
    <t>Deduct:</t>
  </si>
  <si>
    <t xml:space="preserve">Mathematical Reserves </t>
  </si>
  <si>
    <t xml:space="preserve">Other Liabilities </t>
  </si>
  <si>
    <t xml:space="preserve">Available Assets in Shareholders Fund: </t>
  </si>
  <si>
    <t>Other Liabilities of shareholders' fund</t>
  </si>
  <si>
    <t>Total ASM (04)+(07)</t>
  </si>
  <si>
    <t>Total RSM</t>
  </si>
  <si>
    <t>Solvency Ratio (ASM/RSM)</t>
  </si>
  <si>
    <r>
      <rPr>
        <sz val="9"/>
        <rFont val="Comic Sans MS"/>
        <family val="4"/>
      </rPr>
      <t>Surplus/ (Deficit) from Policyholders Accounts</t>
    </r>
  </si>
  <si>
    <r>
      <rPr>
        <sz val="9"/>
        <rFont val="Comic Sans MS"/>
        <family val="4"/>
      </rPr>
      <t>Income from Investments</t>
    </r>
  </si>
  <si>
    <r>
      <rPr>
        <sz val="9"/>
        <rFont val="Comic Sans MS"/>
        <family val="4"/>
      </rPr>
      <t>(a) Interest, Dividend &amp; Rent -  Gross</t>
    </r>
  </si>
  <si>
    <r>
      <rPr>
        <sz val="9"/>
        <rFont val="Comic Sans MS"/>
        <family val="4"/>
      </rPr>
      <t>(b) Profit on sale / redemption of investments</t>
    </r>
  </si>
  <si>
    <r>
      <rPr>
        <sz val="9"/>
        <rFont val="Comic Sans MS"/>
        <family val="4"/>
      </rPr>
      <t>(c) (Loss on sale / redemption of investments)</t>
    </r>
  </si>
  <si>
    <r>
      <rPr>
        <sz val="9"/>
        <rFont val="Comic Sans MS"/>
        <family val="4"/>
      </rPr>
      <t>(d) Accretion of discount/(amortisation of premium) (net)</t>
    </r>
  </si>
  <si>
    <r>
      <rPr>
        <sz val="9"/>
        <rFont val="Comic Sans MS"/>
        <family val="4"/>
      </rPr>
      <t>Other Income</t>
    </r>
  </si>
  <si>
    <r>
      <rPr>
        <sz val="9"/>
        <rFont val="Comic Sans MS"/>
        <family val="4"/>
      </rPr>
      <t>Expenses other than those directly related to the insurance business</t>
    </r>
  </si>
  <si>
    <r>
      <rPr>
        <sz val="9"/>
        <rFont val="Comic Sans MS"/>
        <family val="4"/>
      </rPr>
      <t>(a) Rates and Taxes</t>
    </r>
  </si>
  <si>
    <r>
      <rPr>
        <sz val="9"/>
        <rFont val="Comic Sans MS"/>
        <family val="4"/>
      </rPr>
      <t>(b) Directors' Sitting Fees</t>
    </r>
  </si>
  <si>
    <r>
      <rPr>
        <sz val="9"/>
        <rFont val="Comic Sans MS"/>
        <family val="4"/>
      </rPr>
      <t>(c) Board Meeting Related Expenses</t>
    </r>
  </si>
  <si>
    <r>
      <rPr>
        <sz val="9"/>
        <rFont val="Comic Sans MS"/>
        <family val="4"/>
      </rPr>
      <t>(d) Depreciation</t>
    </r>
  </si>
  <si>
    <r>
      <rPr>
        <sz val="9"/>
        <rFont val="Comic Sans MS"/>
        <family val="4"/>
      </rPr>
      <t>(e) Other expenses</t>
    </r>
  </si>
  <si>
    <r>
      <rPr>
        <sz val="9"/>
        <rFont val="Comic Sans MS"/>
        <family val="4"/>
      </rPr>
      <t>(f) Corporate Social Responsibility expenses</t>
    </r>
  </si>
  <si>
    <r>
      <rPr>
        <sz val="9"/>
        <rFont val="Comic Sans MS"/>
        <family val="4"/>
      </rPr>
      <t>Bad debts written off</t>
    </r>
  </si>
  <si>
    <r>
      <rPr>
        <sz val="9"/>
        <rFont val="Comic Sans MS"/>
        <family val="4"/>
      </rPr>
      <t>Contribution to the Policyholders' Fund</t>
    </r>
  </si>
  <si>
    <r>
      <rPr>
        <sz val="9"/>
        <rFont val="Comic Sans MS"/>
        <family val="4"/>
      </rPr>
      <t>Provisions (Other than taxation)</t>
    </r>
  </si>
  <si>
    <r>
      <rPr>
        <sz val="9"/>
        <rFont val="Comic Sans MS"/>
        <family val="4"/>
      </rPr>
      <t>(a) For diminution in the value of investment (net)</t>
    </r>
  </si>
  <si>
    <r>
      <rPr>
        <sz val="9"/>
        <rFont val="Comic Sans MS"/>
        <family val="4"/>
      </rPr>
      <t>(b) Provision for doubtful debts</t>
    </r>
  </si>
  <si>
    <r>
      <rPr>
        <sz val="9"/>
        <rFont val="Comic Sans MS"/>
        <family val="4"/>
      </rPr>
      <t>Profit / (Loss) before tax</t>
    </r>
  </si>
  <si>
    <r>
      <rPr>
        <sz val="9"/>
        <rFont val="Comic Sans MS"/>
        <family val="4"/>
      </rPr>
      <t>Provision for Taxation</t>
    </r>
  </si>
  <si>
    <t>Deferred Tax credit/(charge)</t>
  </si>
  <si>
    <t>APPROPRIATIONS</t>
  </si>
  <si>
    <r>
      <rPr>
        <sz val="9"/>
        <rFont val="Comic Sans MS"/>
        <family val="4"/>
      </rPr>
      <t>(a) Balance at the beginning of the period</t>
    </r>
  </si>
  <si>
    <t>(c) Proposed final/interim dividend</t>
  </si>
  <si>
    <r>
      <rPr>
        <sz val="9"/>
        <rFont val="Comic Sans MS"/>
        <family val="4"/>
      </rPr>
      <t>(d) Dividend distribution tax</t>
    </r>
  </si>
  <si>
    <r>
      <rPr>
        <sz val="9"/>
        <rFont val="Comic Sans MS"/>
        <family val="4"/>
      </rPr>
      <t>(e) Transfer to reserves / other accounts</t>
    </r>
  </si>
  <si>
    <t>Profit / (Loss) carried to the Balance Sheet</t>
  </si>
  <si>
    <r>
      <rPr>
        <b/>
        <sz val="9"/>
        <rFont val="Comic Sans MS"/>
        <family val="4"/>
      </rPr>
      <t>EARNINGS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PER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EQUITY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SHARE</t>
    </r>
    <r>
      <rPr>
        <sz val="9"/>
        <rFont val="Comic Sans MS"/>
        <family val="4"/>
      </rPr>
      <t xml:space="preserve"> </t>
    </r>
    <r>
      <rPr>
        <b/>
        <sz val="9"/>
        <rFont val="Comic Sans MS"/>
        <family val="4"/>
      </rPr>
      <t>(in</t>
    </r>
    <r>
      <rPr>
        <sz val="9"/>
        <rFont val="Comic Sans MS"/>
        <family val="4"/>
      </rPr>
      <t xml:space="preserve"> `</t>
    </r>
    <r>
      <rPr>
        <b/>
        <sz val="9"/>
        <rFont val="Comic Sans MS"/>
        <family val="4"/>
      </rPr>
      <t>)</t>
    </r>
  </si>
  <si>
    <r>
      <rPr>
        <sz val="9"/>
        <rFont val="Comic Sans MS"/>
        <family val="4"/>
      </rPr>
      <t>(Face Value ` 10/- per share)</t>
    </r>
  </si>
  <si>
    <t>Basic</t>
  </si>
  <si>
    <t>Diluted</t>
  </si>
  <si>
    <t>Cash and bank balances</t>
  </si>
  <si>
    <t>L2:PROFIT &amp; LOSS ACCOUNT</t>
  </si>
  <si>
    <t>L5:COMMISSION SCHEDULE</t>
  </si>
  <si>
    <t>L7:BENEFITS PAID SCHEDULE</t>
  </si>
  <si>
    <t>L6:Operating Expenses Schedule Related to Insurance Business</t>
  </si>
  <si>
    <t>Figures in Crores</t>
  </si>
  <si>
    <t xml:space="preserve">L38:BUSINESS ACQUISITION (Individual) Number of Policies </t>
  </si>
  <si>
    <t>Aditya Birla Sun Life Insurance Company Limited</t>
  </si>
  <si>
    <t>Aegon Life Insurance Company Limited</t>
  </si>
  <si>
    <t>Aviva Life Insurance Company India Private Limited</t>
  </si>
  <si>
    <t>Bajaj Allianz Life Insurance Company Limited</t>
  </si>
  <si>
    <t>Bharti AXA Life Insurance Private Limited</t>
  </si>
  <si>
    <t>Canara HSBC Oriental Bank of Commerce Life Insurance Company Limited</t>
  </si>
  <si>
    <t>Edelweiss Tokio Life Insurance Company Limited</t>
  </si>
  <si>
    <t>Exide life Insurance Company Limited</t>
  </si>
  <si>
    <t>Future Generali India Life Insurance Company Limited</t>
  </si>
  <si>
    <t>HDFC Life Insurance Company Limited</t>
  </si>
  <si>
    <t>ICICI Prudential Life Insurance Company Limited</t>
  </si>
  <si>
    <t>IndiaFirst Life Insurance Company Limited</t>
  </si>
  <si>
    <t>Kotak Mahindra Life Insurance Company Limited</t>
  </si>
  <si>
    <t>Max Life Insurance Company Limited</t>
  </si>
  <si>
    <t>PNB MetLife India Insurance Company Limited</t>
  </si>
  <si>
    <t>Reliance Nippon Life Insurance Company Limited</t>
  </si>
  <si>
    <t>Sahara India Life Insurance Company Limited</t>
  </si>
  <si>
    <t>SBI Life Insurance Company Limited</t>
  </si>
  <si>
    <t>Shriram Life Insurance Company Limited</t>
  </si>
  <si>
    <t>Star Union Dai-ichi Life Insurance Company Limited</t>
  </si>
  <si>
    <t>Tata AIA Life Insurance Company Limited</t>
  </si>
  <si>
    <t>Life Insurance Corporation of India</t>
  </si>
  <si>
    <t xml:space="preserve">Edelweiss Tokio Life Insurance Company Limited </t>
  </si>
  <si>
    <t xml:space="preserve">Excess in  Policyholders' funds </t>
  </si>
  <si>
    <t xml:space="preserve">Excess in Shareholders' funds </t>
  </si>
  <si>
    <t>online</t>
  </si>
  <si>
    <t>Cash (including cheques,drafts and stamps)</t>
  </si>
  <si>
    <t>Bank balances</t>
  </si>
  <si>
    <t xml:space="preserve">          (a) Deposit accounts</t>
  </si>
  <si>
    <t xml:space="preserve">               (aa) Short-term (due within 12 months of the date of Balance Sheet)</t>
  </si>
  <si>
    <t xml:space="preserve">               (bb) Others</t>
  </si>
  <si>
    <t xml:space="preserve">          (b) Current accounts*</t>
  </si>
  <si>
    <t xml:space="preserve">          (c) Others</t>
  </si>
  <si>
    <t xml:space="preserve">          (d) Unclaimed Dividend Accounts </t>
  </si>
  <si>
    <t>Money at call and short notice</t>
  </si>
  <si>
    <t xml:space="preserve">          (a) With banks</t>
  </si>
  <si>
    <t xml:space="preserve">          (b) With other institutions</t>
  </si>
  <si>
    <t xml:space="preserve"> Total</t>
  </si>
  <si>
    <t>Balances with non-scheduled banks included above</t>
  </si>
  <si>
    <t xml:space="preserve">   Total</t>
  </si>
  <si>
    <t>Break-up of cash ( including cheques , drafts and stamps) :</t>
  </si>
  <si>
    <t>Cash in hand</t>
  </si>
  <si>
    <t>Postal franking &amp; Revenue Stamps</t>
  </si>
  <si>
    <t>Cheques in hand</t>
  </si>
  <si>
    <t>(c) Others-Provision</t>
  </si>
  <si>
    <t>SECURITY WISE CLASSIFICATION</t>
  </si>
  <si>
    <t>Secured</t>
  </si>
  <si>
    <t>(a)   On mortgage of property</t>
  </si>
  <si>
    <t xml:space="preserve">          (aa)   In India</t>
  </si>
  <si>
    <t xml:space="preserve">          (bb)  Outside India</t>
  </si>
  <si>
    <t>(b)  On Shares, Bonds, Govt Securities etc</t>
  </si>
  <si>
    <t>(c)  Loans against policies</t>
  </si>
  <si>
    <t>(d)  Others</t>
  </si>
  <si>
    <t>Unsecured</t>
  </si>
  <si>
    <t>BORROWER - WISE CLASSIFICATION</t>
  </si>
  <si>
    <t>(a)  Central and State Governments</t>
  </si>
  <si>
    <t>(b)  Banks and Financial institutions</t>
  </si>
  <si>
    <t>(c )  Subsidiaries</t>
  </si>
  <si>
    <t>(d)  Companies</t>
  </si>
  <si>
    <t>(e)   Loans against policies</t>
  </si>
  <si>
    <t>(f)   Others</t>
  </si>
  <si>
    <t>PERFORMANCE - WISE CLASSIFICATION</t>
  </si>
  <si>
    <t>(a)  Loans classified as standard</t>
  </si>
  <si>
    <t xml:space="preserve">        (aa)  In India</t>
  </si>
  <si>
    <t xml:space="preserve">        (bb) Outside India</t>
  </si>
  <si>
    <t>(b)  Non - standard loans less provisions</t>
  </si>
  <si>
    <t xml:space="preserve">        (bb)  Outside India</t>
  </si>
  <si>
    <t>MATURITY - WISE CLASSIFICATION</t>
  </si>
  <si>
    <t>(a)  Short Term</t>
  </si>
  <si>
    <t>(b)  Long Term</t>
  </si>
  <si>
    <t>L-4</t>
  </si>
  <si>
    <t>(b) Reinsurance ceded</t>
  </si>
  <si>
    <t>(c) Reinsurance accepted</t>
  </si>
  <si>
    <t>SUB - TOTAL</t>
  </si>
  <si>
    <t>Income from investments</t>
  </si>
  <si>
    <t>(a) Interest, Dividends &amp; Rent - Gross</t>
  </si>
  <si>
    <t>(b) Profit on sale / redemption of investments</t>
  </si>
  <si>
    <t>(c) (Loss on sale / redemption of investments)</t>
  </si>
  <si>
    <t>(d) Transfer /Gain on revaluation / change in fair value*</t>
  </si>
  <si>
    <t>(e) Accretion of discount/(amortisation of premium) (Net)</t>
  </si>
  <si>
    <t xml:space="preserve">Other income  </t>
  </si>
  <si>
    <t>(a) Contribution from the Shareholders' A/c</t>
  </si>
  <si>
    <t>(b) Income on unclaimed amount of policyholders</t>
  </si>
  <si>
    <t>(c) Miscellaneous income</t>
  </si>
  <si>
    <t>L-5</t>
  </si>
  <si>
    <t>Operating expenses related to insurance business</t>
  </si>
  <si>
    <t>L-6</t>
  </si>
  <si>
    <t>Provision for doubtful debts</t>
  </si>
  <si>
    <t>Bad debts written off</t>
  </si>
  <si>
    <t>Provision for tax</t>
  </si>
  <si>
    <t xml:space="preserve"> - Income tax</t>
  </si>
  <si>
    <t>Provisions (other than taxation)</t>
  </si>
  <si>
    <t xml:space="preserve">(a) For diminution in the value of investments (Net) </t>
  </si>
  <si>
    <t xml:space="preserve">(b) For standard assets </t>
  </si>
  <si>
    <t>Good and Service Tax charges on charges</t>
  </si>
  <si>
    <t>Total (B)</t>
  </si>
  <si>
    <t>Benefits paid (Net)</t>
  </si>
  <si>
    <t>L-7</t>
  </si>
  <si>
    <t xml:space="preserve">Interim &amp; Terminal bonuses paid </t>
  </si>
  <si>
    <t xml:space="preserve">Change in valuation of liability in respect of life policies </t>
  </si>
  <si>
    <t>(a) Gross**</t>
  </si>
  <si>
    <t>(b) Amount ceded in Re-insurance</t>
  </si>
  <si>
    <t>(c) Amount accepted in Re-insurance</t>
  </si>
  <si>
    <t>(d) Fund reserve</t>
  </si>
  <si>
    <t>(e) Funds for discontinued policies</t>
  </si>
  <si>
    <t>Total (C)</t>
  </si>
  <si>
    <t>SURPLUS/ (DEFICIT) (D) = [(A)-(B)-(C)]</t>
  </si>
  <si>
    <t>Balance of previous year</t>
  </si>
  <si>
    <t>Balance available for appropriation</t>
  </si>
  <si>
    <t>Transfer to Shareholders' account</t>
  </si>
  <si>
    <t xml:space="preserve">Transfer to other reserves </t>
  </si>
  <si>
    <t>Balance being Funds for Future Appropriations</t>
  </si>
  <si>
    <t>Total (D)</t>
  </si>
  <si>
    <t>a) Interim &amp; Terminal bonuses paid</t>
  </si>
  <si>
    <t>b) Allocation of bonus to policyholders</t>
  </si>
  <si>
    <t>c) Surplus shown in the revenue account</t>
  </si>
  <si>
    <t>d) Total Surplus: [(a) + (b) + (c )]</t>
  </si>
  <si>
    <t>Linked</t>
  </si>
  <si>
    <t>Capital reserve</t>
  </si>
  <si>
    <t>Capital redemption reserve</t>
  </si>
  <si>
    <t>Share premium</t>
  </si>
  <si>
    <t>Revaluation reserve</t>
  </si>
  <si>
    <t>General reserves</t>
  </si>
  <si>
    <t>Less : Debit balance in Profit and Loss account, If any</t>
  </si>
  <si>
    <t>Less : Amount utililized for buy-back</t>
  </si>
  <si>
    <t>Catastrophe reserve</t>
  </si>
  <si>
    <t xml:space="preserve">Other reserves </t>
  </si>
  <si>
    <t>Balance of profit in Profit and Loss account</t>
  </si>
  <si>
    <t>Debentures / Bonds</t>
  </si>
  <si>
    <t>Banks</t>
  </si>
  <si>
    <t>Financial institutions</t>
  </si>
  <si>
    <t>Transfer to Balance Sheet being deficit in Revenue Account (Policyholders' account)</t>
  </si>
  <si>
    <t>Expenses in excess of Allowable Expense transferred to Shareholders Account</t>
  </si>
  <si>
    <t>(f) Provision for linked liabilities</t>
  </si>
  <si>
    <r>
      <rPr>
        <b/>
        <sz val="9"/>
        <color indexed="62"/>
        <rFont val="Comic Sans MS"/>
        <family val="4"/>
      </rPr>
      <t>Total</t>
    </r>
    <r>
      <rPr>
        <sz val="9"/>
        <color indexed="62"/>
        <rFont val="Comic Sans MS"/>
        <family val="4"/>
      </rPr>
      <t xml:space="preserve"> </t>
    </r>
    <r>
      <rPr>
        <b/>
        <sz val="9"/>
        <color indexed="62"/>
        <rFont val="Comic Sans MS"/>
        <family val="4"/>
      </rPr>
      <t>(B)</t>
    </r>
  </si>
  <si>
    <r>
      <rPr>
        <b/>
        <sz val="9"/>
        <color indexed="62"/>
        <rFont val="Comic Sans MS"/>
        <family val="4"/>
      </rPr>
      <t>Total</t>
    </r>
    <r>
      <rPr>
        <sz val="9"/>
        <color indexed="62"/>
        <rFont val="Comic Sans MS"/>
        <family val="4"/>
      </rPr>
      <t xml:space="preserve"> </t>
    </r>
    <r>
      <rPr>
        <b/>
        <sz val="9"/>
        <color indexed="62"/>
        <rFont val="Comic Sans MS"/>
        <family val="4"/>
      </rPr>
      <t>(A)</t>
    </r>
  </si>
  <si>
    <t>(g) Appreciation in unclaimed balances</t>
  </si>
  <si>
    <t>-</t>
  </si>
  <si>
    <t>(f) Corporate Social Responsibility expenses</t>
  </si>
  <si>
    <t>(f) Unrealised Gains</t>
  </si>
  <si>
    <t>Transfer from Linked Fund (Lapsed policies)</t>
  </si>
  <si>
    <t>L37:BUSINESS ACQUISITION THROUGH DIFFERENT CHANNELS (GROUP) Premium</t>
  </si>
  <si>
    <t>L38::BUSINESS ACQUISITION THROUGH DIFFERENT CHANNELS (Individual) Premium</t>
  </si>
  <si>
    <t>Provision for Doubtful Debts</t>
  </si>
  <si>
    <t>Provision for Non Standard Loans</t>
  </si>
  <si>
    <t>Provision for Standard Loans</t>
  </si>
  <si>
    <t xml:space="preserve">        Outside India</t>
  </si>
  <si>
    <t xml:space="preserve">        In India</t>
  </si>
  <si>
    <t>Provision for Short Term</t>
  </si>
  <si>
    <t>Provision for Long Term</t>
  </si>
  <si>
    <t>Net Commission including rewards (A+B)</t>
  </si>
  <si>
    <t>Net commission (A)</t>
  </si>
  <si>
    <t>Rewards and/or remuneration to agents, brokers or other intermediaries (B)</t>
  </si>
  <si>
    <t xml:space="preserve">PNB MetLife India Insurance Company Limited </t>
  </si>
  <si>
    <t>Pramerica Life Insurance Company Limited</t>
  </si>
  <si>
    <t xml:space="preserve">Aegon Life Insurance Company Limited </t>
  </si>
  <si>
    <t xml:space="preserve">Bharti AXA Life Insurance Private Limited </t>
  </si>
  <si>
    <t xml:space="preserve">Exide life Insurance Company Limited </t>
  </si>
  <si>
    <t xml:space="preserve">Future Generali India Life Insurance Company Limited </t>
  </si>
  <si>
    <t xml:space="preserve">HDFC Life Insurance Company Limited </t>
  </si>
  <si>
    <t xml:space="preserve">ICICI Prudential Life Insurance Company Limited </t>
  </si>
  <si>
    <t xml:space="preserve">Star Union Dai-ichi Life Insurance Company Limited </t>
  </si>
  <si>
    <t>SOURCES OF FUNDS</t>
  </si>
  <si>
    <t>Shareholders' Funds</t>
  </si>
  <si>
    <r>
      <t xml:space="preserve">Share Capital </t>
    </r>
    <r>
      <rPr>
        <b/>
        <sz val="8"/>
        <color indexed="8"/>
        <rFont val="Comic Sans MS"/>
        <family val="4"/>
      </rPr>
      <t>L8</t>
    </r>
  </si>
  <si>
    <t>Share Application Money pending Allotment</t>
  </si>
  <si>
    <r>
      <t>Reserves And Surplus</t>
    </r>
    <r>
      <rPr>
        <b/>
        <sz val="8"/>
        <color indexed="8"/>
        <rFont val="Comic Sans MS"/>
        <family val="4"/>
      </rPr>
      <t xml:space="preserve"> L10</t>
    </r>
  </si>
  <si>
    <t>Credit/(Debit) Fair Value Change Account (Net)</t>
  </si>
  <si>
    <t>Deferred tax liability</t>
  </si>
  <si>
    <t>Sub-Total</t>
  </si>
  <si>
    <r>
      <t xml:space="preserve">Borrowings </t>
    </r>
    <r>
      <rPr>
        <b/>
        <sz val="8"/>
        <color indexed="8"/>
        <rFont val="Comic Sans MS"/>
        <family val="4"/>
      </rPr>
      <t>L11</t>
    </r>
  </si>
  <si>
    <t>Policyholders' Funds:</t>
  </si>
  <si>
    <t>Revaluation Reserve-Investment Property</t>
  </si>
  <si>
    <t>Non Unit Mathematical reserve</t>
  </si>
  <si>
    <t>Policy Liabilities</t>
  </si>
  <si>
    <t>Surplus on Policy Holder's  A/c</t>
  </si>
  <si>
    <t>Non Linked</t>
  </si>
  <si>
    <t>Insurance Reserves</t>
  </si>
  <si>
    <t>Linked Liabilities</t>
  </si>
  <si>
    <t>Fair value change</t>
  </si>
  <si>
    <t>Provision For Linked Liabilities</t>
  </si>
  <si>
    <t>Credit/(Debit) Fair Value Change A/c (Linked)Change Account (Net)</t>
  </si>
  <si>
    <t>Non Linked Liabilities</t>
  </si>
  <si>
    <t>Funds for Discontinued Policies</t>
  </si>
  <si>
    <t xml:space="preserve">   Discontinued on account of non-payment of premium</t>
  </si>
  <si>
    <t xml:space="preserve">   Others</t>
  </si>
  <si>
    <t>Credit/(Debit) Fair Value Change Account (Linked)</t>
  </si>
  <si>
    <t>Total Linked Liabilities</t>
  </si>
  <si>
    <t>Funds For Future Appropriations</t>
  </si>
  <si>
    <t>TOTAL</t>
  </si>
  <si>
    <t>APPLICATION OF FUNDS</t>
  </si>
  <si>
    <t>Investments</t>
  </si>
  <si>
    <r>
      <t xml:space="preserve">Shareholders' </t>
    </r>
    <r>
      <rPr>
        <b/>
        <sz val="8"/>
        <color indexed="8"/>
        <rFont val="Comic Sans MS"/>
        <family val="4"/>
      </rPr>
      <t xml:space="preserve"> </t>
    </r>
    <r>
      <rPr>
        <b/>
        <sz val="8"/>
        <color indexed="30"/>
        <rFont val="Comic Sans MS"/>
        <family val="4"/>
      </rPr>
      <t>L12</t>
    </r>
  </si>
  <si>
    <r>
      <t xml:space="preserve">Policyholders'  </t>
    </r>
    <r>
      <rPr>
        <b/>
        <sz val="8"/>
        <color indexed="30"/>
        <rFont val="Comic Sans MS"/>
        <family val="4"/>
      </rPr>
      <t>L13</t>
    </r>
  </si>
  <si>
    <r>
      <t>Assets Held To Cover Linked Liabilities</t>
    </r>
    <r>
      <rPr>
        <sz val="8"/>
        <color indexed="30"/>
        <rFont val="Comic Sans MS"/>
        <family val="4"/>
      </rPr>
      <t xml:space="preserve"> </t>
    </r>
    <r>
      <rPr>
        <b/>
        <sz val="8"/>
        <color indexed="30"/>
        <rFont val="Comic Sans MS"/>
        <family val="4"/>
      </rPr>
      <t>L14</t>
    </r>
  </si>
  <si>
    <t>Assets held to cover discontinued funds</t>
  </si>
  <si>
    <r>
      <t>Loans</t>
    </r>
    <r>
      <rPr>
        <b/>
        <sz val="8"/>
        <color indexed="8"/>
        <rFont val="Comic Sans MS"/>
        <family val="4"/>
      </rPr>
      <t xml:space="preserve"> </t>
    </r>
    <r>
      <rPr>
        <b/>
        <sz val="8"/>
        <color indexed="30"/>
        <rFont val="Comic Sans MS"/>
        <family val="4"/>
      </rPr>
      <t>L15</t>
    </r>
  </si>
  <si>
    <r>
      <t xml:space="preserve">Fixed Assets </t>
    </r>
    <r>
      <rPr>
        <b/>
        <sz val="8"/>
        <color indexed="30"/>
        <rFont val="Comic Sans MS"/>
        <family val="4"/>
      </rPr>
      <t>L 16</t>
    </r>
  </si>
  <si>
    <t>Current Assets</t>
  </si>
  <si>
    <t>Deferred Tax Assets</t>
  </si>
  <si>
    <r>
      <t xml:space="preserve">Cash and Bank Balances </t>
    </r>
    <r>
      <rPr>
        <b/>
        <sz val="8"/>
        <color indexed="30"/>
        <rFont val="Comic Sans MS"/>
        <family val="4"/>
      </rPr>
      <t>L17</t>
    </r>
  </si>
  <si>
    <r>
      <t>Advances And Other Assets</t>
    </r>
    <r>
      <rPr>
        <b/>
        <sz val="8"/>
        <color indexed="30"/>
        <rFont val="Comic Sans MS"/>
        <family val="4"/>
      </rPr>
      <t xml:space="preserve"> L18</t>
    </r>
  </si>
  <si>
    <t>Sub-Total (A)</t>
  </si>
  <si>
    <r>
      <t xml:space="preserve">Current Liabilities </t>
    </r>
    <r>
      <rPr>
        <b/>
        <sz val="8"/>
        <color indexed="30"/>
        <rFont val="Comic Sans MS"/>
        <family val="4"/>
      </rPr>
      <t>L19</t>
    </r>
  </si>
  <si>
    <r>
      <t xml:space="preserve">Provisions </t>
    </r>
    <r>
      <rPr>
        <b/>
        <sz val="8"/>
        <color indexed="30"/>
        <rFont val="Comic Sans MS"/>
        <family val="4"/>
      </rPr>
      <t>L20</t>
    </r>
  </si>
  <si>
    <t>Net Current Assets (C) = (A - B)</t>
  </si>
  <si>
    <t xml:space="preserve">Miscellaneous Expenditure </t>
  </si>
  <si>
    <t>(To the extent not written off or adjusted)</t>
  </si>
  <si>
    <t>Debit Balance of Profit and Loss Account</t>
  </si>
  <si>
    <t>Deficit in the Revenue Account (Policyholders' Account)</t>
  </si>
  <si>
    <t>CONTINGENT LIABILITIES</t>
  </si>
  <si>
    <t>Partly paid - up investments</t>
  </si>
  <si>
    <t>Claims, other than against policies, not acknowledged as debts by the Company</t>
  </si>
  <si>
    <t>Underwriting commitments outstanding</t>
  </si>
  <si>
    <t>Guarantees given by or on behalf of the Company</t>
  </si>
  <si>
    <t xml:space="preserve">Statutory demands/ liabilities in dispute, not provided for </t>
  </si>
  <si>
    <t>Reinsurance obligations to the extent not provided for in accounts</t>
  </si>
  <si>
    <t>In relation to Claims against policies</t>
  </si>
  <si>
    <t>(c) Provision for non-standard assests</t>
  </si>
  <si>
    <t>Provision for current tax</t>
  </si>
  <si>
    <r>
      <rPr>
        <b/>
        <sz val="9"/>
        <rFont val="Comic Sans MS"/>
        <family val="4"/>
      </rPr>
      <t>Profit / (Loss) after tax</t>
    </r>
  </si>
  <si>
    <t>.-Current Tax</t>
  </si>
  <si>
    <t>Upto Q4 2021</t>
  </si>
  <si>
    <t>Audited as at 31st March 2021</t>
  </si>
  <si>
    <t>As at 31st March,2021</t>
  </si>
  <si>
    <t>Ageas Federal Life Insurance Company Limited</t>
  </si>
  <si>
    <t xml:space="preserve">Ageas Federal Life Insurance Company Limited </t>
  </si>
  <si>
    <t>Aegas Federal Life Insurance Company Limited</t>
  </si>
  <si>
    <t>(g) Debenture redemption reserve</t>
  </si>
  <si>
    <t>Adjusted Value March 2021</t>
  </si>
  <si>
    <t>Interest Accrued Written Off</t>
  </si>
  <si>
    <t xml:space="preserve"> Insurer</t>
  </si>
  <si>
    <t xml:space="preserve">Aditya Birla Sun Life Insurance Co. Ltd </t>
  </si>
  <si>
    <t>Aegon Life Insurance Co. Ltd</t>
  </si>
  <si>
    <t>Aviva Life Insurance Co. Ltd</t>
  </si>
  <si>
    <t>Bajaj Allianz Life Insurance Co. Ltd</t>
  </si>
  <si>
    <t>Bharti AXA Life Insurance Co. Ltd</t>
  </si>
  <si>
    <t>Canara HSBC Life Insurance Co. Ltd</t>
  </si>
  <si>
    <t>Pramerica Life Insurance Co. Ltd</t>
  </si>
  <si>
    <t>Edelweiss Tokio Life Insurance Co. Ltd</t>
  </si>
  <si>
    <t>Exide Life Insurance Co. Ltd</t>
  </si>
  <si>
    <t>Future Generali Life Insurance Co. Ltd</t>
  </si>
  <si>
    <t>HDFC Standard Life Insurance Co. Ltd</t>
  </si>
  <si>
    <t>ICICI Prudential Life Insurance Co. Ltd</t>
  </si>
  <si>
    <t>India First Life Insurance Co. Ltd</t>
  </si>
  <si>
    <t>Kotak Mahindra Life Insurance Co. Ltd</t>
  </si>
  <si>
    <t>Max Life Insurance Co. Ltd</t>
  </si>
  <si>
    <t>PNB Met Life Insurance Co. Ltd</t>
  </si>
  <si>
    <t>Reliance Nippon Life Insurance Co. Ltd</t>
  </si>
  <si>
    <t>Sahara India Life Insurance Co. Ltd</t>
  </si>
  <si>
    <t>SBI Life Insurance Co. Ltd</t>
  </si>
  <si>
    <t>Shriram Life Insurance Co. Ltd</t>
  </si>
  <si>
    <t>Star Union Dai-ichi Life Insurance Co. Ltd</t>
  </si>
  <si>
    <t>Tata AIA Life Insurance Co. Ltd</t>
  </si>
  <si>
    <t>LIC of India</t>
  </si>
  <si>
    <t>Ageas Federal Life Insurance Co. Ltd</t>
  </si>
  <si>
    <t>Annualized Premium Basis</t>
  </si>
  <si>
    <t>Policy Basis</t>
  </si>
  <si>
    <t>(c) Ohers-REPOS</t>
  </si>
  <si>
    <t>(d) CBLO</t>
  </si>
  <si>
    <t>13 Month</t>
  </si>
  <si>
    <t>25 Month</t>
  </si>
  <si>
    <t>37 Month</t>
  </si>
  <si>
    <t>49 Month</t>
  </si>
  <si>
    <t>61 Month</t>
  </si>
  <si>
    <t>Upto Q4 2122</t>
  </si>
  <si>
    <t>Online (through company website)</t>
  </si>
  <si>
    <t>others</t>
  </si>
  <si>
    <t>PERSISTENCY OF LIFE INSURANCE POLICIES (in %) Upto 31st March 2022</t>
  </si>
  <si>
    <t>(in Lakh)</t>
  </si>
  <si>
    <t>AS at 31.03.2022</t>
  </si>
  <si>
    <t>Adjusted Value March 2022</t>
  </si>
  <si>
    <r>
      <t xml:space="preserve">L3-Balance Sheet </t>
    </r>
    <r>
      <rPr>
        <b/>
        <sz val="10"/>
        <color indexed="8"/>
        <rFont val="Comic Sans MS"/>
        <family val="4"/>
      </rPr>
      <t>(In Lakhs)</t>
    </r>
  </si>
  <si>
    <t>Sub-Total (B)</t>
  </si>
  <si>
    <t>AS at 31.03.2122</t>
  </si>
  <si>
    <t>As at 31st March,2022</t>
  </si>
  <si>
    <t>L1:REVENUE ACCOUNT Figures in 'Lakhs'</t>
  </si>
  <si>
    <t>Form L-15-Loans Schedule  (` in 'Lakhs)</t>
  </si>
  <si>
    <t>Form L-10-Reserves and Surplus Schedule(Amount in 'Lakhs)</t>
  </si>
  <si>
    <t>(Amount in 'Lakh)</t>
  </si>
  <si>
    <t>Audited as at 31st March 2022</t>
  </si>
  <si>
    <t>Form L-17-Cash and Bank Balance Schedule (` in 'Lakh)</t>
  </si>
  <si>
    <t>(b) Interim/Final dividend paid during the period</t>
  </si>
  <si>
    <t>299+5880</t>
  </si>
  <si>
    <t>Figures in 'Lakh'</t>
  </si>
  <si>
    <t>Form L-11 -Borrowings Schedule  (Amount in 'Lakh)</t>
  </si>
  <si>
    <t>Adjusted Value March 2021/2022 In Lakhs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</si>
</sst>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#0"/>
  </numFmts>
  <fonts count="67" x14ac:knownFonts="1">
    <font>
      <sz val="11"/>
      <color theme="1"/>
      <name val="Calibri"/>
      <family val="2"/>
      <scheme val="minor"/>
    </font>
    <font>
      <b/>
      <sz val="9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9"/>
      <name val="Comic Sans MS"/>
      <family val="4"/>
    </font>
    <font>
      <sz val="10"/>
      <name val="Comic Sans MS"/>
      <family val="4"/>
    </font>
    <font>
      <b/>
      <sz val="9"/>
      <color indexed="62"/>
      <name val="Comic Sans MS"/>
      <family val="4"/>
    </font>
    <font>
      <sz val="9"/>
      <color indexed="62"/>
      <name val="Comic Sans MS"/>
      <family val="4"/>
    </font>
    <font>
      <b/>
      <i/>
      <sz val="9"/>
      <name val="Comic Sans MS"/>
      <family val="4"/>
    </font>
    <font>
      <sz val="11"/>
      <name val="Comic Sans MS"/>
      <family val="4"/>
    </font>
    <font>
      <sz val="8"/>
      <name val="Comic Sans MS"/>
      <family val="4"/>
    </font>
    <font>
      <b/>
      <sz val="8"/>
      <color indexed="8"/>
      <name val="Comic Sans MS"/>
      <family val="4"/>
    </font>
    <font>
      <b/>
      <sz val="8"/>
      <color indexed="30"/>
      <name val="Comic Sans MS"/>
      <family val="4"/>
    </font>
    <font>
      <sz val="8"/>
      <color indexed="30"/>
      <name val="Comic Sans MS"/>
      <family val="4"/>
    </font>
    <font>
      <b/>
      <sz val="10"/>
      <color indexed="8"/>
      <name val="Comic Sans MS"/>
      <family val="4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omic Sans MS"/>
      <family val="4"/>
    </font>
    <font>
      <b/>
      <sz val="9"/>
      <color theme="1"/>
      <name val="Comic Sans MS"/>
      <family val="4"/>
    </font>
    <font>
      <sz val="9"/>
      <color rgb="FF000000"/>
      <name val="Comic Sans MS"/>
      <family val="4"/>
    </font>
    <font>
      <i/>
      <sz val="9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b/>
      <sz val="10"/>
      <color theme="1"/>
      <name val="Comic Sans MS"/>
      <family val="4"/>
    </font>
    <font>
      <sz val="8"/>
      <color rgb="FF000000"/>
      <name val="Comic Sans MS"/>
      <family val="4"/>
    </font>
    <font>
      <b/>
      <sz val="8"/>
      <color theme="1"/>
      <name val="Comic Sans MS"/>
      <family val="4"/>
    </font>
    <font>
      <b/>
      <sz val="9"/>
      <color rgb="FF000000"/>
      <name val="Comic Sans MS"/>
      <family val="4"/>
    </font>
    <font>
      <sz val="8"/>
      <color theme="1"/>
      <name val="Comic Sans MS"/>
      <family val="4"/>
    </font>
    <font>
      <b/>
      <sz val="8"/>
      <color rgb="FF000000"/>
      <name val="Comic Sans MS"/>
      <family val="4"/>
    </font>
    <font>
      <b/>
      <sz val="9"/>
      <color rgb="FFFF0000"/>
      <name val="Comic Sans MS"/>
      <family val="4"/>
    </font>
    <font>
      <sz val="9"/>
      <color theme="4"/>
      <name val="Comic Sans MS"/>
      <family val="4"/>
    </font>
    <font>
      <b/>
      <sz val="8"/>
      <color theme="4"/>
      <name val="Comic Sans MS"/>
      <family val="4"/>
    </font>
    <font>
      <b/>
      <sz val="9"/>
      <color theme="4"/>
      <name val="Comic Sans MS"/>
      <family val="4"/>
    </font>
    <font>
      <sz val="11"/>
      <color theme="4"/>
      <name val="Comic Sans MS"/>
      <family val="4"/>
    </font>
    <font>
      <b/>
      <sz val="10"/>
      <color theme="4"/>
      <name val="Comic Sans MS"/>
      <family val="4"/>
    </font>
    <font>
      <b/>
      <sz val="11"/>
      <color theme="4"/>
      <name val="Comic Sans MS"/>
      <family val="4"/>
    </font>
    <font>
      <b/>
      <sz val="10"/>
      <color rgb="FF000000"/>
      <name val="Comic Sans MS"/>
      <family val="4"/>
    </font>
    <font>
      <b/>
      <sz val="9"/>
      <color theme="8"/>
      <name val="Comic Sans MS"/>
      <family val="4"/>
    </font>
    <font>
      <sz val="9"/>
      <color theme="8"/>
      <name val="Comic Sans MS"/>
      <family val="4"/>
    </font>
    <font>
      <b/>
      <sz val="8"/>
      <color theme="8"/>
      <name val="Comic Sans MS"/>
      <family val="4"/>
    </font>
    <font>
      <sz val="11"/>
      <color theme="8"/>
      <name val="Comic Sans MS"/>
      <family val="4"/>
    </font>
    <font>
      <sz val="11"/>
      <color theme="8"/>
      <name val="Calibri"/>
      <family val="2"/>
      <scheme val="minor"/>
    </font>
    <font>
      <sz val="8"/>
      <color theme="8"/>
      <name val="Comic Sans MS"/>
      <family val="4"/>
    </font>
    <font>
      <b/>
      <sz val="11"/>
      <color theme="8"/>
      <name val="Comic Sans MS"/>
      <family val="4"/>
    </font>
    <font>
      <b/>
      <sz val="11"/>
      <color theme="1"/>
      <name val="Comic Sans MS"/>
      <family val="4"/>
    </font>
    <font>
      <b/>
      <sz val="10"/>
      <color theme="8"/>
      <name val="Comic Sans MS"/>
      <family val="4"/>
    </font>
    <font>
      <b/>
      <sz val="8"/>
      <color rgb="FF0070C0"/>
      <name val="Comic Sans MS"/>
      <family val="4"/>
    </font>
    <font>
      <sz val="8"/>
      <color rgb="FF0070C0"/>
      <name val="Comic Sans MS"/>
      <family val="4"/>
    </font>
    <font>
      <b/>
      <i/>
      <sz val="9"/>
      <color theme="8"/>
      <name val="Comic Sans MS"/>
      <family val="4"/>
    </font>
    <font>
      <b/>
      <sz val="14"/>
      <color theme="1"/>
      <name val="Comic Sans MS"/>
      <family val="4"/>
    </font>
    <font>
      <sz val="10"/>
      <color rgb="FF000000"/>
      <name val="Comic Sans MS"/>
      <family val="4"/>
    </font>
    <font>
      <b/>
      <sz val="11"/>
      <color rgb="FF0070C0"/>
      <name val="Comic Sans MS"/>
      <family val="4"/>
    </font>
    <font>
      <i/>
      <sz val="8"/>
      <color rgb="FF000000"/>
      <name val="Comic Sans MS"/>
      <family val="4"/>
    </font>
    <font>
      <sz val="8"/>
      <color rgb="FFFF0000"/>
      <name val="Comic Sans MS"/>
      <family val="4"/>
    </font>
    <font>
      <b/>
      <sz val="8"/>
      <color rgb="FFFF0000"/>
      <name val="Comic Sans MS"/>
      <family val="4"/>
    </font>
    <font>
      <b/>
      <sz val="9"/>
      <color rgb="FF0070C0"/>
      <name val="Comic Sans MS"/>
      <family val="4"/>
    </font>
    <font>
      <sz val="11"/>
      <color theme="1"/>
      <name val="Arial"/>
      <family val="2"/>
    </font>
    <font>
      <b/>
      <sz val="10"/>
      <color rgb="FF0070C0"/>
      <name val="Comic Sans MS"/>
      <family val="4"/>
    </font>
    <font>
      <b/>
      <sz val="11"/>
      <color rgb="FF0070C0"/>
      <name val="Calibri"/>
      <family val="2"/>
      <scheme val="minor"/>
    </font>
    <font>
      <sz val="11"/>
      <color rgb="FF0070C0"/>
      <name val="Comic Sans MS"/>
      <family val="4"/>
    </font>
    <font>
      <sz val="11"/>
      <color rgb="FF0070C0"/>
      <name val="Calibri"/>
      <family val="2"/>
      <scheme val="minor"/>
    </font>
    <font>
      <b/>
      <sz val="11"/>
      <color rgb="FFFF0000"/>
      <name val="Comic Sans MS"/>
      <family val="4"/>
    </font>
    <font>
      <sz val="11"/>
      <color rgb="FFFF0000"/>
      <name val="Comic Sans MS"/>
      <family val="4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</cellStyleXfs>
  <cellXfs count="1429">
    <xf numFmtId="0" fontId="0" fillId="0" borderId="0" xfId="0"/>
    <xf numFmtId="2" fontId="18" fillId="0" borderId="1" xfId="0" applyNumberFormat="1" applyFont="1" applyBorder="1" applyAlignment="1">
      <alignment horizontal="left"/>
    </xf>
    <xf numFmtId="2" fontId="18" fillId="0" borderId="2" xfId="0" applyNumberFormat="1" applyFont="1" applyBorder="1" applyAlignment="1">
      <alignment horizontal="left"/>
    </xf>
    <xf numFmtId="2" fontId="18" fillId="0" borderId="3" xfId="0" applyNumberFormat="1" applyFont="1" applyBorder="1" applyAlignment="1">
      <alignment horizontal="left"/>
    </xf>
    <xf numFmtId="2" fontId="18" fillId="0" borderId="2" xfId="2" applyNumberFormat="1" applyFont="1" applyBorder="1" applyAlignment="1">
      <alignment horizontal="left"/>
    </xf>
    <xf numFmtId="2" fontId="18" fillId="0" borderId="3" xfId="2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/>
    </xf>
    <xf numFmtId="2" fontId="19" fillId="0" borderId="2" xfId="0" applyNumberFormat="1" applyFont="1" applyBorder="1" applyAlignment="1">
      <alignment horizontal="left"/>
    </xf>
    <xf numFmtId="2" fontId="19" fillId="0" borderId="3" xfId="0" applyNumberFormat="1" applyFont="1" applyBorder="1" applyAlignment="1">
      <alignment horizontal="left"/>
    </xf>
    <xf numFmtId="0" fontId="18" fillId="0" borderId="0" xfId="0" applyFont="1" applyAlignment="1">
      <alignment horizontal="left"/>
    </xf>
    <xf numFmtId="1" fontId="19" fillId="0" borderId="2" xfId="0" applyNumberFormat="1" applyFont="1" applyBorder="1" applyAlignment="1">
      <alignment horizontal="left" vertical="center"/>
    </xf>
    <xf numFmtId="1" fontId="19" fillId="0" borderId="1" xfId="0" applyNumberFormat="1" applyFont="1" applyBorder="1" applyAlignment="1">
      <alignment horizontal="left" vertical="center"/>
    </xf>
    <xf numFmtId="1" fontId="19" fillId="0" borderId="4" xfId="0" applyNumberFormat="1" applyFont="1" applyBorder="1" applyAlignment="1">
      <alignment horizontal="left" vertical="center"/>
    </xf>
    <xf numFmtId="1" fontId="19" fillId="0" borderId="3" xfId="0" applyNumberFormat="1" applyFont="1" applyBorder="1" applyAlignment="1">
      <alignment horizontal="left" vertical="center"/>
    </xf>
    <xf numFmtId="3" fontId="20" fillId="0" borderId="2" xfId="0" applyNumberFormat="1" applyFont="1" applyBorder="1" applyAlignment="1">
      <alignment horizontal="left"/>
    </xf>
    <xf numFmtId="3" fontId="20" fillId="0" borderId="3" xfId="0" applyNumberFormat="1" applyFont="1" applyBorder="1" applyAlignment="1">
      <alignment horizontal="left"/>
    </xf>
    <xf numFmtId="1" fontId="18" fillId="0" borderId="2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left"/>
    </xf>
    <xf numFmtId="1" fontId="18" fillId="0" borderId="4" xfId="0" applyNumberFormat="1" applyFont="1" applyBorder="1" applyAlignment="1">
      <alignment horizontal="left"/>
    </xf>
    <xf numFmtId="1" fontId="18" fillId="0" borderId="3" xfId="0" applyNumberFormat="1" applyFont="1" applyBorder="1" applyAlignment="1">
      <alignment horizontal="left"/>
    </xf>
    <xf numFmtId="1" fontId="18" fillId="0" borderId="2" xfId="2" applyNumberFormat="1" applyFont="1" applyBorder="1" applyAlignment="1">
      <alignment horizontal="left"/>
    </xf>
    <xf numFmtId="1" fontId="18" fillId="0" borderId="3" xfId="2" applyNumberFormat="1" applyFont="1" applyBorder="1" applyAlignment="1">
      <alignment horizontal="left"/>
    </xf>
    <xf numFmtId="1" fontId="18" fillId="0" borderId="2" xfId="0" applyNumberFormat="1" applyFont="1" applyFill="1" applyBorder="1" applyAlignment="1">
      <alignment horizontal="left"/>
    </xf>
    <xf numFmtId="1" fontId="18" fillId="0" borderId="3" xfId="0" applyNumberFormat="1" applyFont="1" applyFill="1" applyBorder="1" applyAlignment="1">
      <alignment horizontal="left"/>
    </xf>
    <xf numFmtId="1" fontId="18" fillId="0" borderId="2" xfId="1" applyNumberFormat="1" applyFont="1" applyBorder="1" applyAlignment="1">
      <alignment horizontal="left"/>
    </xf>
    <xf numFmtId="1" fontId="18" fillId="0" borderId="3" xfId="1" applyNumberFormat="1" applyFont="1" applyBorder="1" applyAlignment="1">
      <alignment horizontal="left"/>
    </xf>
    <xf numFmtId="1" fontId="19" fillId="0" borderId="2" xfId="1" applyNumberFormat="1" applyFont="1" applyBorder="1" applyAlignment="1">
      <alignment horizontal="left"/>
    </xf>
    <xf numFmtId="1" fontId="19" fillId="0" borderId="3" xfId="1" applyNumberFormat="1" applyFont="1" applyBorder="1" applyAlignment="1">
      <alignment horizontal="left"/>
    </xf>
    <xf numFmtId="1" fontId="19" fillId="0" borderId="2" xfId="0" applyNumberFormat="1" applyFont="1" applyBorder="1" applyAlignment="1">
      <alignment horizontal="left"/>
    </xf>
    <xf numFmtId="1" fontId="19" fillId="0" borderId="4" xfId="0" applyNumberFormat="1" applyFont="1" applyBorder="1" applyAlignment="1">
      <alignment horizontal="left"/>
    </xf>
    <xf numFmtId="1" fontId="19" fillId="0" borderId="3" xfId="0" applyNumberFormat="1" applyFont="1" applyBorder="1" applyAlignment="1">
      <alignment horizontal="left"/>
    </xf>
    <xf numFmtId="1" fontId="1" fillId="0" borderId="2" xfId="0" applyNumberFormat="1" applyFont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1" fontId="18" fillId="0" borderId="0" xfId="0" applyNumberFormat="1" applyFont="1" applyAlignment="1">
      <alignment horizontal="left"/>
    </xf>
    <xf numFmtId="1" fontId="19" fillId="0" borderId="6" xfId="0" applyNumberFormat="1" applyFont="1" applyBorder="1" applyAlignment="1">
      <alignment horizontal="left"/>
    </xf>
    <xf numFmtId="2" fontId="19" fillId="0" borderId="2" xfId="0" applyNumberFormat="1" applyFont="1" applyBorder="1" applyAlignment="1">
      <alignment horizontal="left" vertical="center"/>
    </xf>
    <xf numFmtId="1" fontId="18" fillId="0" borderId="6" xfId="2" applyNumberFormat="1" applyFont="1" applyBorder="1" applyAlignment="1">
      <alignment horizontal="left"/>
    </xf>
    <xf numFmtId="2" fontId="18" fillId="0" borderId="6" xfId="0" applyNumberFormat="1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1" fontId="18" fillId="0" borderId="8" xfId="0" applyNumberFormat="1" applyFont="1" applyBorder="1" applyAlignment="1">
      <alignment horizontal="left" vertical="center"/>
    </xf>
    <xf numFmtId="1" fontId="18" fillId="0" borderId="9" xfId="0" applyNumberFormat="1" applyFont="1" applyBorder="1" applyAlignment="1">
      <alignment horizontal="left"/>
    </xf>
    <xf numFmtId="1" fontId="18" fillId="0" borderId="6" xfId="0" applyNumberFormat="1" applyFont="1" applyBorder="1" applyAlignment="1">
      <alignment horizontal="left"/>
    </xf>
    <xf numFmtId="1" fontId="18" fillId="0" borderId="8" xfId="0" applyNumberFormat="1" applyFont="1" applyBorder="1" applyAlignment="1">
      <alignment horizontal="left"/>
    </xf>
    <xf numFmtId="2" fontId="18" fillId="0" borderId="8" xfId="0" applyNumberFormat="1" applyFont="1" applyBorder="1" applyAlignment="1">
      <alignment horizontal="left"/>
    </xf>
    <xf numFmtId="1" fontId="18" fillId="0" borderId="8" xfId="2" applyNumberFormat="1" applyFont="1" applyBorder="1" applyAlignment="1">
      <alignment horizontal="left"/>
    </xf>
    <xf numFmtId="1" fontId="18" fillId="0" borderId="6" xfId="0" applyNumberFormat="1" applyFont="1" applyFill="1" applyBorder="1" applyAlignment="1">
      <alignment horizontal="left"/>
    </xf>
    <xf numFmtId="1" fontId="18" fillId="0" borderId="8" xfId="0" applyNumberFormat="1" applyFont="1" applyFill="1" applyBorder="1" applyAlignment="1">
      <alignment horizontal="left"/>
    </xf>
    <xf numFmtId="1" fontId="18" fillId="0" borderId="6" xfId="1" applyNumberFormat="1" applyFont="1" applyBorder="1" applyAlignment="1">
      <alignment horizontal="left"/>
    </xf>
    <xf numFmtId="1" fontId="18" fillId="0" borderId="8" xfId="1" applyNumberFormat="1" applyFont="1" applyBorder="1" applyAlignment="1">
      <alignment horizontal="left"/>
    </xf>
    <xf numFmtId="1" fontId="19" fillId="0" borderId="9" xfId="0" applyNumberFormat="1" applyFont="1" applyBorder="1" applyAlignment="1">
      <alignment horizontal="left"/>
    </xf>
    <xf numFmtId="1" fontId="19" fillId="0" borderId="10" xfId="0" applyNumberFormat="1" applyFont="1" applyBorder="1" applyAlignment="1">
      <alignment horizontal="left"/>
    </xf>
    <xf numFmtId="2" fontId="18" fillId="0" borderId="0" xfId="0" applyNumberFormat="1" applyFont="1" applyAlignment="1">
      <alignment horizontal="left"/>
    </xf>
    <xf numFmtId="1" fontId="18" fillId="0" borderId="3" xfId="0" applyNumberFormat="1" applyFont="1" applyBorder="1" applyAlignment="1">
      <alignment horizontal="left" vertical="center"/>
    </xf>
    <xf numFmtId="1" fontId="19" fillId="0" borderId="11" xfId="0" applyNumberFormat="1" applyFont="1" applyBorder="1" applyAlignment="1">
      <alignment horizontal="left"/>
    </xf>
    <xf numFmtId="1" fontId="19" fillId="0" borderId="12" xfId="0" applyNumberFormat="1" applyFont="1" applyBorder="1" applyAlignment="1">
      <alignment horizontal="left"/>
    </xf>
    <xf numFmtId="1" fontId="18" fillId="0" borderId="11" xfId="0" applyNumberFormat="1" applyFont="1" applyFill="1" applyBorder="1" applyAlignment="1">
      <alignment horizontal="left"/>
    </xf>
    <xf numFmtId="1" fontId="18" fillId="0" borderId="12" xfId="0" applyNumberFormat="1" applyFont="1" applyFill="1" applyBorder="1" applyAlignment="1">
      <alignment horizontal="left"/>
    </xf>
    <xf numFmtId="2" fontId="19" fillId="0" borderId="11" xfId="0" applyNumberFormat="1" applyFont="1" applyBorder="1" applyAlignment="1">
      <alignment horizontal="left"/>
    </xf>
    <xf numFmtId="2" fontId="19" fillId="0" borderId="12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2" fontId="18" fillId="0" borderId="2" xfId="0" applyNumberFormat="1" applyFont="1" applyBorder="1" applyAlignment="1">
      <alignment horizontal="left" vertical="center"/>
    </xf>
    <xf numFmtId="2" fontId="18" fillId="0" borderId="5" xfId="0" applyNumberFormat="1" applyFont="1" applyBorder="1" applyAlignment="1">
      <alignment horizontal="left" vertical="center"/>
    </xf>
    <xf numFmtId="2" fontId="23" fillId="0" borderId="1" xfId="0" applyNumberFormat="1" applyFont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5" xfId="0" applyNumberFormat="1" applyFont="1" applyBorder="1" applyAlignment="1">
      <alignment horizontal="left"/>
    </xf>
    <xf numFmtId="2" fontId="23" fillId="0" borderId="3" xfId="0" applyNumberFormat="1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2" fontId="23" fillId="0" borderId="3" xfId="0" applyNumberFormat="1" applyFont="1" applyFill="1" applyBorder="1" applyAlignment="1">
      <alignment horizontal="left"/>
    </xf>
    <xf numFmtId="2" fontId="23" fillId="0" borderId="2" xfId="1" applyNumberFormat="1" applyFont="1" applyBorder="1" applyAlignment="1">
      <alignment horizontal="left"/>
    </xf>
    <xf numFmtId="2" fontId="23" fillId="0" borderId="3" xfId="1" applyNumberFormat="1" applyFont="1" applyBorder="1" applyAlignment="1">
      <alignment horizontal="left"/>
    </xf>
    <xf numFmtId="2" fontId="24" fillId="0" borderId="4" xfId="0" applyNumberFormat="1" applyFont="1" applyBorder="1" applyAlignment="1">
      <alignment horizontal="left"/>
    </xf>
    <xf numFmtId="2" fontId="23" fillId="0" borderId="1" xfId="1" applyNumberFormat="1" applyFont="1" applyBorder="1" applyAlignment="1">
      <alignment horizontal="left"/>
    </xf>
    <xf numFmtId="2" fontId="24" fillId="0" borderId="1" xfId="0" applyNumberFormat="1" applyFont="1" applyBorder="1" applyAlignment="1">
      <alignment horizontal="left"/>
    </xf>
    <xf numFmtId="3" fontId="25" fillId="0" borderId="4" xfId="0" applyNumberFormat="1" applyFont="1" applyBorder="1" applyAlignment="1">
      <alignment horizontal="left"/>
    </xf>
    <xf numFmtId="3" fontId="25" fillId="0" borderId="3" xfId="0" applyNumberFormat="1" applyFont="1" applyBorder="1" applyAlignment="1">
      <alignment horizontal="left"/>
    </xf>
    <xf numFmtId="2" fontId="19" fillId="0" borderId="5" xfId="0" applyNumberFormat="1" applyFont="1" applyBorder="1" applyAlignment="1">
      <alignment horizontal="left" vertical="center"/>
    </xf>
    <xf numFmtId="2" fontId="24" fillId="0" borderId="2" xfId="0" applyNumberFormat="1" applyFont="1" applyBorder="1" applyAlignment="1">
      <alignment horizontal="left"/>
    </xf>
    <xf numFmtId="2" fontId="24" fillId="0" borderId="5" xfId="0" applyNumberFormat="1" applyFont="1" applyBorder="1" applyAlignment="1">
      <alignment horizontal="left"/>
    </xf>
    <xf numFmtId="2" fontId="24" fillId="0" borderId="3" xfId="0" applyNumberFormat="1" applyFont="1" applyBorder="1" applyAlignment="1">
      <alignment horizontal="left"/>
    </xf>
    <xf numFmtId="2" fontId="2" fillId="0" borderId="3" xfId="0" applyNumberFormat="1" applyFont="1" applyBorder="1" applyAlignment="1">
      <alignment horizontal="left"/>
    </xf>
    <xf numFmtId="2" fontId="22" fillId="0" borderId="0" xfId="0" applyNumberFormat="1" applyFont="1" applyAlignment="1">
      <alignment horizontal="left"/>
    </xf>
    <xf numFmtId="2" fontId="19" fillId="0" borderId="2" xfId="2" applyNumberFormat="1" applyFont="1" applyBorder="1" applyAlignment="1">
      <alignment horizontal="left"/>
    </xf>
    <xf numFmtId="0" fontId="19" fillId="0" borderId="0" xfId="0" applyFont="1"/>
    <xf numFmtId="0" fontId="26" fillId="0" borderId="0" xfId="0" applyFont="1" applyAlignment="1">
      <alignment horizontal="left"/>
    </xf>
    <xf numFmtId="2" fontId="19" fillId="0" borderId="3" xfId="0" applyNumberFormat="1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2" fontId="19" fillId="0" borderId="5" xfId="0" applyNumberFormat="1" applyFont="1" applyBorder="1" applyAlignment="1">
      <alignment horizontal="left"/>
    </xf>
    <xf numFmtId="2" fontId="19" fillId="0" borderId="3" xfId="0" applyNumberFormat="1" applyFont="1" applyFill="1" applyBorder="1" applyAlignment="1">
      <alignment horizontal="left"/>
    </xf>
    <xf numFmtId="2" fontId="19" fillId="0" borderId="2" xfId="1" applyNumberFormat="1" applyFont="1" applyBorder="1" applyAlignment="1">
      <alignment horizontal="left"/>
    </xf>
    <xf numFmtId="2" fontId="19" fillId="0" borderId="3" xfId="1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0" fontId="27" fillId="0" borderId="13" xfId="0" applyFont="1" applyBorder="1" applyAlignment="1">
      <alignment horizontal="left"/>
    </xf>
    <xf numFmtId="0" fontId="22" fillId="0" borderId="0" xfId="0" applyFont="1"/>
    <xf numFmtId="0" fontId="25" fillId="0" borderId="14" xfId="0" applyFont="1" applyBorder="1" applyAlignment="1">
      <alignment horizontal="left"/>
    </xf>
    <xf numFmtId="0" fontId="28" fillId="0" borderId="3" xfId="0" applyFont="1" applyBorder="1" applyAlignment="1">
      <alignment horizontal="left"/>
    </xf>
    <xf numFmtId="0" fontId="28" fillId="0" borderId="0" xfId="0" applyFont="1" applyAlignment="1">
      <alignment horizontal="left"/>
    </xf>
    <xf numFmtId="2" fontId="28" fillId="0" borderId="3" xfId="0" applyNumberFormat="1" applyFont="1" applyBorder="1" applyAlignment="1">
      <alignment horizontal="left" vertic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3" xfId="0" applyNumberFormat="1" applyFont="1" applyBorder="1" applyAlignment="1">
      <alignment horizontal="left"/>
    </xf>
    <xf numFmtId="1" fontId="28" fillId="0" borderId="1" xfId="0" applyNumberFormat="1" applyFont="1" applyBorder="1" applyAlignment="1">
      <alignment horizontal="left"/>
    </xf>
    <xf numFmtId="1" fontId="28" fillId="0" borderId="2" xfId="0" applyNumberFormat="1" applyFont="1" applyBorder="1" applyAlignment="1">
      <alignment horizontal="left"/>
    </xf>
    <xf numFmtId="1" fontId="28" fillId="0" borderId="3" xfId="0" applyNumberFormat="1" applyFont="1" applyBorder="1" applyAlignment="1">
      <alignment horizontal="left"/>
    </xf>
    <xf numFmtId="2" fontId="28" fillId="0" borderId="3" xfId="2" applyNumberFormat="1" applyFont="1" applyBorder="1" applyAlignment="1">
      <alignment horizontal="left"/>
    </xf>
    <xf numFmtId="2" fontId="28" fillId="0" borderId="2" xfId="0" applyNumberFormat="1" applyFont="1" applyFill="1" applyBorder="1" applyAlignment="1">
      <alignment horizontal="left"/>
    </xf>
    <xf numFmtId="2" fontId="28" fillId="0" borderId="2" xfId="1" applyNumberFormat="1" applyFont="1" applyBorder="1" applyAlignment="1">
      <alignment horizontal="left"/>
    </xf>
    <xf numFmtId="2" fontId="28" fillId="0" borderId="3" xfId="1" applyNumberFormat="1" applyFont="1" applyBorder="1" applyAlignment="1">
      <alignment horizontal="left"/>
    </xf>
    <xf numFmtId="2" fontId="26" fillId="0" borderId="15" xfId="0" applyNumberFormat="1" applyFont="1" applyBorder="1" applyAlignment="1">
      <alignment horizontal="left"/>
    </xf>
    <xf numFmtId="2" fontId="26" fillId="0" borderId="16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1" fontId="28" fillId="0" borderId="3" xfId="0" applyNumberFormat="1" applyFont="1" applyBorder="1" applyAlignment="1">
      <alignment horizontal="left" vertical="center"/>
    </xf>
    <xf numFmtId="1" fontId="28" fillId="0" borderId="5" xfId="0" applyNumberFormat="1" applyFont="1" applyBorder="1" applyAlignment="1">
      <alignment horizontal="left"/>
    </xf>
    <xf numFmtId="1" fontId="28" fillId="0" borderId="0" xfId="0" applyNumberFormat="1" applyFont="1" applyBorder="1" applyAlignment="1">
      <alignment horizontal="left"/>
    </xf>
    <xf numFmtId="1" fontId="28" fillId="0" borderId="17" xfId="0" applyNumberFormat="1" applyFont="1" applyBorder="1" applyAlignment="1">
      <alignment horizontal="left"/>
    </xf>
    <xf numFmtId="3" fontId="25" fillId="0" borderId="1" xfId="0" applyNumberFormat="1" applyFont="1" applyBorder="1" applyAlignment="1">
      <alignment horizontal="left"/>
    </xf>
    <xf numFmtId="1" fontId="28" fillId="0" borderId="2" xfId="0" applyNumberFormat="1" applyFont="1" applyFill="1" applyBorder="1" applyAlignment="1">
      <alignment horizontal="left"/>
    </xf>
    <xf numFmtId="1" fontId="28" fillId="0" borderId="2" xfId="1" applyNumberFormat="1" applyFont="1" applyBorder="1" applyAlignment="1">
      <alignment horizontal="left"/>
    </xf>
    <xf numFmtId="1" fontId="28" fillId="0" borderId="3" xfId="1" applyNumberFormat="1" applyFont="1" applyBorder="1" applyAlignment="1">
      <alignment horizontal="left"/>
    </xf>
    <xf numFmtId="1" fontId="26" fillId="0" borderId="1" xfId="0" applyNumberFormat="1" applyFont="1" applyBorder="1" applyAlignment="1">
      <alignment horizontal="left"/>
    </xf>
    <xf numFmtId="1" fontId="26" fillId="0" borderId="14" xfId="0" applyNumberFormat="1" applyFont="1" applyBorder="1" applyAlignment="1">
      <alignment horizontal="left"/>
    </xf>
    <xf numFmtId="0" fontId="29" fillId="0" borderId="14" xfId="0" applyFont="1" applyBorder="1" applyAlignment="1">
      <alignment horizontal="left"/>
    </xf>
    <xf numFmtId="1" fontId="26" fillId="0" borderId="2" xfId="0" applyNumberFormat="1" applyFont="1" applyBorder="1" applyAlignment="1">
      <alignment horizontal="left"/>
    </xf>
    <xf numFmtId="1" fontId="26" fillId="0" borderId="3" xfId="0" applyNumberFormat="1" applyFont="1" applyBorder="1" applyAlignment="1">
      <alignment horizontal="left"/>
    </xf>
    <xf numFmtId="1" fontId="26" fillId="0" borderId="5" xfId="0" applyNumberFormat="1" applyFont="1" applyBorder="1" applyAlignment="1">
      <alignment horizontal="left"/>
    </xf>
    <xf numFmtId="1" fontId="22" fillId="0" borderId="0" xfId="0" applyNumberFormat="1" applyFont="1" applyAlignment="1">
      <alignment horizontal="left"/>
    </xf>
    <xf numFmtId="1" fontId="28" fillId="0" borderId="4" xfId="0" applyNumberFormat="1" applyFont="1" applyBorder="1" applyAlignment="1">
      <alignment horizontal="left"/>
    </xf>
    <xf numFmtId="1" fontId="28" fillId="0" borderId="5" xfId="0" applyNumberFormat="1" applyFont="1" applyFill="1" applyBorder="1" applyAlignment="1">
      <alignment horizontal="left"/>
    </xf>
    <xf numFmtId="1" fontId="28" fillId="0" borderId="5" xfId="1" applyNumberFormat="1" applyFont="1" applyBorder="1" applyAlignment="1">
      <alignment horizontal="left"/>
    </xf>
    <xf numFmtId="1" fontId="26" fillId="0" borderId="4" xfId="0" applyNumberFormat="1" applyFont="1" applyBorder="1" applyAlignment="1">
      <alignment horizontal="left"/>
    </xf>
    <xf numFmtId="1" fontId="26" fillId="0" borderId="16" xfId="0" applyNumberFormat="1" applyFont="1" applyBorder="1" applyAlignment="1">
      <alignment horizontal="left"/>
    </xf>
    <xf numFmtId="0" fontId="28" fillId="0" borderId="0" xfId="0" applyFont="1" applyBorder="1" applyAlignment="1">
      <alignment horizontal="left"/>
    </xf>
    <xf numFmtId="2" fontId="26" fillId="0" borderId="3" xfId="0" applyNumberFormat="1" applyFont="1" applyBorder="1" applyAlignment="1">
      <alignment horizontal="left" vertical="center"/>
    </xf>
    <xf numFmtId="2" fontId="26" fillId="0" borderId="3" xfId="0" applyNumberFormat="1" applyFont="1" applyBorder="1" applyAlignment="1">
      <alignment horizontal="left"/>
    </xf>
    <xf numFmtId="2" fontId="28" fillId="0" borderId="18" xfId="0" applyNumberFormat="1" applyFont="1" applyBorder="1" applyAlignment="1">
      <alignment horizontal="left" vertical="center"/>
    </xf>
    <xf numFmtId="2" fontId="28" fillId="0" borderId="19" xfId="0" applyNumberFormat="1" applyFont="1" applyBorder="1" applyAlignment="1">
      <alignment horizontal="left"/>
    </xf>
    <xf numFmtId="1" fontId="28" fillId="0" borderId="18" xfId="0" applyNumberFormat="1" applyFont="1" applyBorder="1" applyAlignment="1">
      <alignment horizontal="left"/>
    </xf>
    <xf numFmtId="1" fontId="28" fillId="0" borderId="20" xfId="0" applyNumberFormat="1" applyFont="1" applyBorder="1" applyAlignment="1">
      <alignment horizontal="left"/>
    </xf>
    <xf numFmtId="1" fontId="28" fillId="0" borderId="19" xfId="0" applyNumberFormat="1" applyFont="1" applyBorder="1" applyAlignment="1">
      <alignment horizontal="left"/>
    </xf>
    <xf numFmtId="2" fontId="28" fillId="0" borderId="18" xfId="0" applyNumberFormat="1" applyFont="1" applyBorder="1" applyAlignment="1">
      <alignment horizontal="left"/>
    </xf>
    <xf numFmtId="1" fontId="28" fillId="0" borderId="21" xfId="0" applyNumberFormat="1" applyFont="1" applyBorder="1" applyAlignment="1">
      <alignment horizontal="left"/>
    </xf>
    <xf numFmtId="1" fontId="28" fillId="0" borderId="22" xfId="0" applyNumberFormat="1" applyFont="1" applyBorder="1" applyAlignment="1">
      <alignment horizontal="left"/>
    </xf>
    <xf numFmtId="1" fontId="28" fillId="0" borderId="22" xfId="0" applyNumberFormat="1" applyFont="1" applyFill="1" applyBorder="1" applyAlignment="1">
      <alignment horizontal="left"/>
    </xf>
    <xf numFmtId="1" fontId="28" fillId="0" borderId="22" xfId="1" applyNumberFormat="1" applyFont="1" applyBorder="1" applyAlignment="1">
      <alignment horizontal="left"/>
    </xf>
    <xf numFmtId="1" fontId="26" fillId="0" borderId="21" xfId="0" applyNumberFormat="1" applyFont="1" applyBorder="1" applyAlignment="1">
      <alignment horizontal="left"/>
    </xf>
    <xf numFmtId="1" fontId="26" fillId="0" borderId="20" xfId="0" applyNumberFormat="1" applyFont="1" applyBorder="1" applyAlignment="1">
      <alignment horizontal="left"/>
    </xf>
    <xf numFmtId="1" fontId="26" fillId="0" borderId="23" xfId="0" applyNumberFormat="1" applyFont="1" applyBorder="1" applyAlignment="1">
      <alignment horizontal="left"/>
    </xf>
    <xf numFmtId="0" fontId="28" fillId="0" borderId="24" xfId="0" applyFont="1" applyBorder="1" applyAlignment="1">
      <alignment horizontal="left"/>
    </xf>
    <xf numFmtId="0" fontId="28" fillId="0" borderId="25" xfId="0" applyFont="1" applyBorder="1" applyAlignment="1">
      <alignment horizontal="left"/>
    </xf>
    <xf numFmtId="1" fontId="28" fillId="0" borderId="25" xfId="0" applyNumberFormat="1" applyFont="1" applyBorder="1" applyAlignment="1">
      <alignment horizontal="left"/>
    </xf>
    <xf numFmtId="1" fontId="28" fillId="0" borderId="24" xfId="0" applyNumberFormat="1" applyFont="1" applyBorder="1" applyAlignment="1">
      <alignment horizontal="left"/>
    </xf>
    <xf numFmtId="1" fontId="26" fillId="0" borderId="26" xfId="0" applyNumberFormat="1" applyFont="1" applyBorder="1" applyAlignment="1">
      <alignment horizontal="left"/>
    </xf>
    <xf numFmtId="1" fontId="26" fillId="0" borderId="25" xfId="0" applyNumberFormat="1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1" fontId="28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left"/>
    </xf>
    <xf numFmtId="0" fontId="17" fillId="0" borderId="0" xfId="0" applyFont="1"/>
    <xf numFmtId="0" fontId="29" fillId="0" borderId="27" xfId="0" applyFont="1" applyBorder="1" applyAlignment="1">
      <alignment horizontal="left"/>
    </xf>
    <xf numFmtId="0" fontId="26" fillId="0" borderId="6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1" fontId="26" fillId="0" borderId="8" xfId="0" applyNumberFormat="1" applyFont="1" applyBorder="1" applyAlignment="1">
      <alignment horizontal="left" vertical="center"/>
    </xf>
    <xf numFmtId="1" fontId="26" fillId="0" borderId="9" xfId="0" applyNumberFormat="1" applyFont="1" applyBorder="1" applyAlignment="1">
      <alignment horizontal="left" vertical="center"/>
    </xf>
    <xf numFmtId="1" fontId="26" fillId="0" borderId="6" xfId="0" applyNumberFormat="1" applyFont="1" applyBorder="1" applyAlignment="1">
      <alignment horizontal="left" vertical="center"/>
    </xf>
    <xf numFmtId="1" fontId="26" fillId="0" borderId="28" xfId="0" applyNumberFormat="1" applyFont="1" applyBorder="1" applyAlignment="1">
      <alignment horizontal="left" vertical="center"/>
    </xf>
    <xf numFmtId="1" fontId="26" fillId="0" borderId="29" xfId="0" applyNumberFormat="1" applyFont="1" applyBorder="1" applyAlignment="1">
      <alignment horizontal="left" vertical="center"/>
    </xf>
    <xf numFmtId="1" fontId="28" fillId="0" borderId="6" xfId="0" applyNumberFormat="1" applyFont="1" applyBorder="1" applyAlignment="1">
      <alignment horizontal="left"/>
    </xf>
    <xf numFmtId="1" fontId="28" fillId="0" borderId="8" xfId="0" applyNumberFormat="1" applyFont="1" applyBorder="1" applyAlignment="1">
      <alignment horizontal="left"/>
    </xf>
    <xf numFmtId="1" fontId="28" fillId="0" borderId="0" xfId="0" applyNumberFormat="1" applyFont="1"/>
    <xf numFmtId="1" fontId="25" fillId="0" borderId="5" xfId="0" applyNumberFormat="1" applyFont="1" applyBorder="1" applyAlignment="1">
      <alignment horizontal="left"/>
    </xf>
    <xf numFmtId="1" fontId="29" fillId="0" borderId="5" xfId="0" applyNumberFormat="1" applyFont="1" applyBorder="1" applyAlignment="1">
      <alignment horizontal="left"/>
    </xf>
    <xf numFmtId="1" fontId="25" fillId="0" borderId="30" xfId="0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left" vertical="center"/>
    </xf>
    <xf numFmtId="1" fontId="23" fillId="0" borderId="4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23" fillId="0" borderId="3" xfId="0" applyNumberFormat="1" applyFont="1" applyBorder="1" applyAlignment="1">
      <alignment horizontal="left"/>
    </xf>
    <xf numFmtId="1" fontId="23" fillId="0" borderId="2" xfId="0" applyNumberFormat="1" applyFont="1" applyFill="1" applyBorder="1" applyAlignment="1">
      <alignment horizontal="left"/>
    </xf>
    <xf numFmtId="1" fontId="23" fillId="0" borderId="1" xfId="1" applyNumberFormat="1" applyFont="1" applyBorder="1" applyAlignment="1">
      <alignment horizontal="left"/>
    </xf>
    <xf numFmtId="1" fontId="23" fillId="0" borderId="1" xfId="0" applyNumberFormat="1" applyFont="1" applyBorder="1" applyAlignment="1">
      <alignment horizontal="left"/>
    </xf>
    <xf numFmtId="1" fontId="24" fillId="0" borderId="1" xfId="0" applyNumberFormat="1" applyFont="1" applyBorder="1" applyAlignment="1">
      <alignment horizontal="left" vertical="center"/>
    </xf>
    <xf numFmtId="1" fontId="22" fillId="0" borderId="0" xfId="0" applyNumberFormat="1" applyFont="1" applyBorder="1" applyAlignment="1">
      <alignment horizontal="left"/>
    </xf>
    <xf numFmtId="1" fontId="24" fillId="0" borderId="2" xfId="0" applyNumberFormat="1" applyFont="1" applyBorder="1" applyAlignment="1">
      <alignment horizontal="left"/>
    </xf>
    <xf numFmtId="1" fontId="25" fillId="0" borderId="31" xfId="0" applyNumberFormat="1" applyFont="1" applyBorder="1" applyAlignment="1">
      <alignment horizontal="left"/>
    </xf>
    <xf numFmtId="1" fontId="24" fillId="0" borderId="21" xfId="0" applyNumberFormat="1" applyFont="1" applyBorder="1" applyAlignment="1">
      <alignment horizontal="left" vertical="center"/>
    </xf>
    <xf numFmtId="1" fontId="23" fillId="0" borderId="19" xfId="0" applyNumberFormat="1" applyFont="1" applyBorder="1" applyAlignment="1">
      <alignment horizontal="left"/>
    </xf>
    <xf numFmtId="1" fontId="23" fillId="0" borderId="18" xfId="0" applyNumberFormat="1" applyFont="1" applyBorder="1" applyAlignment="1">
      <alignment horizontal="left"/>
    </xf>
    <xf numFmtId="1" fontId="23" fillId="0" borderId="19" xfId="0" applyNumberFormat="1" applyFont="1" applyFill="1" applyBorder="1" applyAlignment="1">
      <alignment horizontal="left"/>
    </xf>
    <xf numFmtId="1" fontId="23" fillId="0" borderId="18" xfId="0" applyNumberFormat="1" applyFont="1" applyBorder="1" applyAlignment="1">
      <alignment horizontal="left" vertical="center"/>
    </xf>
    <xf numFmtId="1" fontId="24" fillId="0" borderId="32" xfId="0" applyNumberFormat="1" applyFont="1" applyBorder="1" applyAlignment="1">
      <alignment horizontal="left" vertical="center"/>
    </xf>
    <xf numFmtId="1" fontId="19" fillId="0" borderId="8" xfId="0" applyNumberFormat="1" applyFont="1" applyBorder="1" applyAlignment="1">
      <alignment horizontal="left"/>
    </xf>
    <xf numFmtId="1" fontId="19" fillId="0" borderId="15" xfId="0" applyNumberFormat="1" applyFont="1" applyBorder="1" applyAlignment="1">
      <alignment horizontal="left" vertical="center"/>
    </xf>
    <xf numFmtId="1" fontId="18" fillId="0" borderId="15" xfId="0" applyNumberFormat="1" applyFont="1" applyBorder="1" applyAlignment="1">
      <alignment horizontal="left" vertical="center"/>
    </xf>
    <xf numFmtId="1" fontId="4" fillId="0" borderId="2" xfId="2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2" xfId="1" applyNumberFormat="1" applyFont="1" applyBorder="1" applyAlignment="1">
      <alignment horizontal="left"/>
    </xf>
    <xf numFmtId="2" fontId="18" fillId="0" borderId="5" xfId="0" applyNumberFormat="1" applyFont="1" applyBorder="1" applyAlignment="1">
      <alignment horizontal="left"/>
    </xf>
    <xf numFmtId="2" fontId="18" fillId="0" borderId="1" xfId="2" applyNumberFormat="1" applyFont="1" applyBorder="1" applyAlignment="1">
      <alignment horizontal="left"/>
    </xf>
    <xf numFmtId="2" fontId="18" fillId="0" borderId="2" xfId="1" applyNumberFormat="1" applyFont="1" applyBorder="1" applyAlignment="1">
      <alignment horizontal="left"/>
    </xf>
    <xf numFmtId="1" fontId="18" fillId="0" borderId="0" xfId="0" applyNumberFormat="1" applyFont="1" applyFill="1" applyAlignment="1">
      <alignment horizontal="left"/>
    </xf>
    <xf numFmtId="1" fontId="18" fillId="0" borderId="0" xfId="0" applyNumberFormat="1" applyFont="1"/>
    <xf numFmtId="1" fontId="4" fillId="0" borderId="3" xfId="2" applyNumberFormat="1" applyFont="1" applyBorder="1" applyAlignment="1">
      <alignment horizontal="left"/>
    </xf>
    <xf numFmtId="1" fontId="18" fillId="0" borderId="11" xfId="0" applyNumberFormat="1" applyFont="1" applyBorder="1" applyAlignment="1">
      <alignment horizontal="left"/>
    </xf>
    <xf numFmtId="1" fontId="18" fillId="0" borderId="12" xfId="0" applyNumberFormat="1" applyFont="1" applyBorder="1" applyAlignment="1">
      <alignment horizontal="left"/>
    </xf>
    <xf numFmtId="0" fontId="26" fillId="0" borderId="33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1" fontId="25" fillId="0" borderId="3" xfId="0" applyNumberFormat="1" applyFont="1" applyBorder="1" applyAlignment="1">
      <alignment horizontal="left"/>
    </xf>
    <xf numFmtId="1" fontId="28" fillId="0" borderId="12" xfId="0" applyNumberFormat="1" applyFont="1" applyBorder="1" applyAlignment="1">
      <alignment horizontal="left"/>
    </xf>
    <xf numFmtId="0" fontId="28" fillId="0" borderId="35" xfId="0" applyFont="1" applyBorder="1" applyAlignment="1">
      <alignment horizontal="left"/>
    </xf>
    <xf numFmtId="0" fontId="25" fillId="0" borderId="36" xfId="0" applyFont="1" applyBorder="1" applyAlignment="1">
      <alignment horizontal="left"/>
    </xf>
    <xf numFmtId="2" fontId="24" fillId="0" borderId="14" xfId="0" applyNumberFormat="1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2" fontId="23" fillId="0" borderId="21" xfId="0" applyNumberFormat="1" applyFont="1" applyBorder="1" applyAlignment="1">
      <alignment horizontal="left"/>
    </xf>
    <xf numFmtId="2" fontId="23" fillId="0" borderId="19" xfId="0" applyNumberFormat="1" applyFont="1" applyBorder="1" applyAlignment="1">
      <alignment horizontal="left"/>
    </xf>
    <xf numFmtId="2" fontId="23" fillId="0" borderId="22" xfId="0" applyNumberFormat="1" applyFont="1" applyBorder="1" applyAlignment="1">
      <alignment horizontal="left"/>
    </xf>
    <xf numFmtId="2" fontId="23" fillId="0" borderId="18" xfId="0" applyNumberFormat="1" applyFont="1" applyBorder="1" applyAlignment="1">
      <alignment horizontal="left"/>
    </xf>
    <xf numFmtId="2" fontId="23" fillId="0" borderId="18" xfId="0" applyNumberFormat="1" applyFont="1" applyFill="1" applyBorder="1" applyAlignment="1">
      <alignment horizontal="left"/>
    </xf>
    <xf numFmtId="2" fontId="23" fillId="0" borderId="19" xfId="1" applyNumberFormat="1" applyFont="1" applyBorder="1" applyAlignment="1">
      <alignment horizontal="left"/>
    </xf>
    <xf numFmtId="2" fontId="23" fillId="0" borderId="18" xfId="1" applyNumberFormat="1" applyFont="1" applyBorder="1" applyAlignment="1">
      <alignment horizontal="left"/>
    </xf>
    <xf numFmtId="2" fontId="24" fillId="0" borderId="20" xfId="0" applyNumberFormat="1" applyFont="1" applyBorder="1" applyAlignment="1">
      <alignment horizontal="left"/>
    </xf>
    <xf numFmtId="2" fontId="23" fillId="0" borderId="21" xfId="1" applyNumberFormat="1" applyFont="1" applyBorder="1" applyAlignment="1">
      <alignment horizontal="left"/>
    </xf>
    <xf numFmtId="2" fontId="24" fillId="0" borderId="32" xfId="0" applyNumberFormat="1" applyFont="1" applyBorder="1" applyAlignment="1">
      <alignment horizontal="left"/>
    </xf>
    <xf numFmtId="2" fontId="23" fillId="0" borderId="37" xfId="0" applyNumberFormat="1" applyFont="1" applyBorder="1" applyAlignment="1">
      <alignment horizontal="left"/>
    </xf>
    <xf numFmtId="2" fontId="23" fillId="0" borderId="38" xfId="0" applyNumberFormat="1" applyFont="1" applyBorder="1" applyAlignment="1">
      <alignment horizontal="left"/>
    </xf>
    <xf numFmtId="2" fontId="23" fillId="0" borderId="39" xfId="0" applyNumberFormat="1" applyFont="1" applyBorder="1" applyAlignment="1">
      <alignment horizontal="left"/>
    </xf>
    <xf numFmtId="2" fontId="23" fillId="0" borderId="40" xfId="0" applyNumberFormat="1" applyFont="1" applyBorder="1" applyAlignment="1">
      <alignment horizontal="left"/>
    </xf>
    <xf numFmtId="2" fontId="23" fillId="0" borderId="40" xfId="0" applyNumberFormat="1" applyFont="1" applyFill="1" applyBorder="1" applyAlignment="1">
      <alignment horizontal="left"/>
    </xf>
    <xf numFmtId="2" fontId="23" fillId="0" borderId="38" xfId="1" applyNumberFormat="1" applyFont="1" applyBorder="1" applyAlignment="1">
      <alignment horizontal="left"/>
    </xf>
    <xf numFmtId="2" fontId="23" fillId="0" borderId="40" xfId="1" applyNumberFormat="1" applyFont="1" applyBorder="1" applyAlignment="1">
      <alignment horizontal="left"/>
    </xf>
    <xf numFmtId="2" fontId="24" fillId="0" borderId="41" xfId="0" applyNumberFormat="1" applyFont="1" applyBorder="1" applyAlignment="1">
      <alignment horizontal="left"/>
    </xf>
    <xf numFmtId="2" fontId="23" fillId="0" borderId="37" xfId="1" applyNumberFormat="1" applyFont="1" applyBorder="1" applyAlignment="1">
      <alignment horizontal="left"/>
    </xf>
    <xf numFmtId="2" fontId="24" fillId="0" borderId="42" xfId="0" applyNumberFormat="1" applyFont="1" applyBorder="1" applyAlignment="1">
      <alignment horizontal="left"/>
    </xf>
    <xf numFmtId="2" fontId="18" fillId="0" borderId="19" xfId="0" applyNumberFormat="1" applyFont="1" applyBorder="1" applyAlignment="1">
      <alignment horizontal="left" vertical="center"/>
    </xf>
    <xf numFmtId="2" fontId="18" fillId="0" borderId="22" xfId="0" applyNumberFormat="1" applyFont="1" applyBorder="1" applyAlignment="1">
      <alignment horizontal="left" vertical="center"/>
    </xf>
    <xf numFmtId="2" fontId="18" fillId="0" borderId="21" xfId="0" applyNumberFormat="1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2" fontId="18" fillId="0" borderId="19" xfId="0" applyNumberFormat="1" applyFont="1" applyBorder="1" applyAlignment="1">
      <alignment horizontal="left"/>
    </xf>
    <xf numFmtId="2" fontId="18" fillId="0" borderId="18" xfId="0" applyNumberFormat="1" applyFont="1" applyBorder="1" applyAlignment="1">
      <alignment horizontal="left"/>
    </xf>
    <xf numFmtId="0" fontId="28" fillId="0" borderId="42" xfId="0" applyFont="1" applyBorder="1" applyAlignment="1">
      <alignment horizontal="left"/>
    </xf>
    <xf numFmtId="2" fontId="19" fillId="0" borderId="38" xfId="0" applyNumberFormat="1" applyFont="1" applyBorder="1" applyAlignment="1">
      <alignment horizontal="left" vertical="center"/>
    </xf>
    <xf numFmtId="2" fontId="19" fillId="0" borderId="39" xfId="0" applyNumberFormat="1" applyFont="1" applyBorder="1" applyAlignment="1">
      <alignment horizontal="left" vertical="center"/>
    </xf>
    <xf numFmtId="2" fontId="19" fillId="0" borderId="37" xfId="0" applyNumberFormat="1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40" xfId="0" applyFont="1" applyBorder="1" applyAlignment="1">
      <alignment horizontal="left"/>
    </xf>
    <xf numFmtId="2" fontId="19" fillId="0" borderId="38" xfId="0" applyNumberFormat="1" applyFont="1" applyBorder="1" applyAlignment="1">
      <alignment horizontal="left"/>
    </xf>
    <xf numFmtId="2" fontId="19" fillId="0" borderId="40" xfId="0" applyNumberFormat="1" applyFont="1" applyBorder="1" applyAlignment="1">
      <alignment horizontal="left"/>
    </xf>
    <xf numFmtId="0" fontId="28" fillId="0" borderId="40" xfId="0" applyFont="1" applyBorder="1" applyAlignment="1">
      <alignment horizontal="left"/>
    </xf>
    <xf numFmtId="1" fontId="20" fillId="0" borderId="30" xfId="0" applyNumberFormat="1" applyFont="1" applyBorder="1" applyAlignment="1">
      <alignment horizontal="left"/>
    </xf>
    <xf numFmtId="1" fontId="18" fillId="0" borderId="2" xfId="0" applyNumberFormat="1" applyFont="1" applyFill="1" applyBorder="1" applyAlignment="1">
      <alignment horizontal="left" wrapText="1"/>
    </xf>
    <xf numFmtId="1" fontId="18" fillId="0" borderId="2" xfId="0" applyNumberFormat="1" applyFont="1" applyFill="1" applyBorder="1" applyAlignment="1">
      <alignment horizontal="left" vertical="top" shrinkToFit="1"/>
    </xf>
    <xf numFmtId="1" fontId="18" fillId="0" borderId="2" xfId="0" applyNumberFormat="1" applyFont="1" applyFill="1" applyBorder="1" applyAlignment="1">
      <alignment horizontal="left" vertical="top" wrapText="1"/>
    </xf>
    <xf numFmtId="1" fontId="19" fillId="0" borderId="2" xfId="0" applyNumberFormat="1" applyFont="1" applyFill="1" applyBorder="1" applyAlignment="1">
      <alignment horizontal="left" vertical="top" shrinkToFit="1"/>
    </xf>
    <xf numFmtId="1" fontId="18" fillId="0" borderId="3" xfId="0" applyNumberFormat="1" applyFont="1" applyFill="1" applyBorder="1" applyAlignment="1">
      <alignment horizontal="left" wrapText="1"/>
    </xf>
    <xf numFmtId="1" fontId="18" fillId="0" borderId="3" xfId="0" applyNumberFormat="1" applyFont="1" applyFill="1" applyBorder="1" applyAlignment="1">
      <alignment horizontal="left" vertical="top" shrinkToFit="1"/>
    </xf>
    <xf numFmtId="1" fontId="18" fillId="0" borderId="3" xfId="0" applyNumberFormat="1" applyFont="1" applyFill="1" applyBorder="1" applyAlignment="1">
      <alignment horizontal="left" vertical="top" wrapText="1"/>
    </xf>
    <xf numFmtId="1" fontId="19" fillId="0" borderId="3" xfId="0" applyNumberFormat="1" applyFont="1" applyFill="1" applyBorder="1" applyAlignment="1">
      <alignment horizontal="left" vertical="top" shrinkToFit="1"/>
    </xf>
    <xf numFmtId="1" fontId="4" fillId="0" borderId="3" xfId="0" applyNumberFormat="1" applyFont="1" applyFill="1" applyBorder="1" applyAlignment="1">
      <alignment horizontal="left"/>
    </xf>
    <xf numFmtId="1" fontId="18" fillId="0" borderId="14" xfId="1" applyNumberFormat="1" applyFont="1" applyBorder="1" applyAlignment="1">
      <alignment horizontal="left"/>
    </xf>
    <xf numFmtId="1" fontId="4" fillId="0" borderId="3" xfId="1" applyNumberFormat="1" applyFont="1" applyBorder="1" applyAlignment="1">
      <alignment horizontal="left"/>
    </xf>
    <xf numFmtId="2" fontId="18" fillId="0" borderId="3" xfId="1" applyNumberFormat="1" applyFont="1" applyBorder="1" applyAlignment="1">
      <alignment horizontal="left"/>
    </xf>
    <xf numFmtId="1" fontId="18" fillId="0" borderId="0" xfId="0" applyNumberFormat="1" applyFont="1" applyBorder="1" applyAlignment="1">
      <alignment horizontal="left"/>
    </xf>
    <xf numFmtId="1" fontId="18" fillId="0" borderId="17" xfId="0" applyNumberFormat="1" applyFont="1" applyBorder="1" applyAlignment="1">
      <alignment horizontal="left"/>
    </xf>
    <xf numFmtId="2" fontId="18" fillId="0" borderId="11" xfId="1" applyNumberFormat="1" applyFont="1" applyBorder="1" applyAlignment="1">
      <alignment horizontal="left"/>
    </xf>
    <xf numFmtId="2" fontId="18" fillId="0" borderId="12" xfId="1" applyNumberFormat="1" applyFont="1" applyBorder="1" applyAlignment="1">
      <alignment horizontal="left"/>
    </xf>
    <xf numFmtId="2" fontId="19" fillId="0" borderId="43" xfId="0" applyNumberFormat="1" applyFont="1" applyBorder="1" applyAlignment="1">
      <alignment horizontal="left"/>
    </xf>
    <xf numFmtId="2" fontId="18" fillId="0" borderId="43" xfId="0" applyNumberFormat="1" applyFont="1" applyBorder="1" applyAlignment="1">
      <alignment horizontal="left"/>
    </xf>
    <xf numFmtId="2" fontId="18" fillId="0" borderId="34" xfId="0" applyNumberFormat="1" applyFont="1" applyBorder="1" applyAlignment="1">
      <alignment horizontal="left"/>
    </xf>
    <xf numFmtId="2" fontId="19" fillId="0" borderId="28" xfId="0" applyNumberFormat="1" applyFont="1" applyBorder="1" applyAlignment="1">
      <alignment horizontal="left" vertical="center"/>
    </xf>
    <xf numFmtId="2" fontId="19" fillId="0" borderId="8" xfId="0" applyNumberFormat="1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27" fillId="0" borderId="36" xfId="0" applyFont="1" applyBorder="1" applyAlignment="1">
      <alignment horizontal="left"/>
    </xf>
    <xf numFmtId="0" fontId="27" fillId="0" borderId="14" xfId="0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1" fontId="19" fillId="0" borderId="16" xfId="0" applyNumberFormat="1" applyFont="1" applyBorder="1" applyAlignment="1">
      <alignment horizontal="left" vertical="center"/>
    </xf>
    <xf numFmtId="1" fontId="18" fillId="0" borderId="7" xfId="0" applyNumberFormat="1" applyFont="1" applyBorder="1" applyAlignment="1">
      <alignment horizontal="left"/>
    </xf>
    <xf numFmtId="1" fontId="18" fillId="0" borderId="16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2" fontId="18" fillId="0" borderId="44" xfId="0" applyNumberFormat="1" applyFont="1" applyBorder="1" applyAlignment="1">
      <alignment horizontal="left"/>
    </xf>
    <xf numFmtId="2" fontId="18" fillId="0" borderId="45" xfId="0" applyNumberFormat="1" applyFont="1" applyBorder="1" applyAlignment="1">
      <alignment horizontal="left"/>
    </xf>
    <xf numFmtId="2" fontId="18" fillId="0" borderId="46" xfId="0" applyNumberFormat="1" applyFont="1" applyBorder="1" applyAlignment="1">
      <alignment horizontal="left"/>
    </xf>
    <xf numFmtId="2" fontId="18" fillId="0" borderId="43" xfId="2" applyNumberFormat="1" applyFont="1" applyBorder="1" applyAlignment="1">
      <alignment horizontal="left"/>
    </xf>
    <xf numFmtId="2" fontId="18" fillId="0" borderId="34" xfId="2" applyNumberFormat="1" applyFont="1" applyBorder="1" applyAlignment="1">
      <alignment horizontal="left"/>
    </xf>
    <xf numFmtId="2" fontId="18" fillId="0" borderId="43" xfId="0" applyNumberFormat="1" applyFont="1" applyFill="1" applyBorder="1" applyAlignment="1">
      <alignment horizontal="left" vertical="center" wrapText="1"/>
    </xf>
    <xf numFmtId="2" fontId="18" fillId="0" borderId="34" xfId="0" applyNumberFormat="1" applyFont="1" applyFill="1" applyBorder="1" applyAlignment="1">
      <alignment horizontal="left" vertical="center" wrapText="1"/>
    </xf>
    <xf numFmtId="2" fontId="18" fillId="0" borderId="43" xfId="0" applyNumberFormat="1" applyFont="1" applyFill="1" applyBorder="1" applyAlignment="1">
      <alignment horizontal="left"/>
    </xf>
    <xf numFmtId="2" fontId="18" fillId="0" borderId="34" xfId="0" applyNumberFormat="1" applyFont="1" applyFill="1" applyBorder="1" applyAlignment="1">
      <alignment horizontal="left"/>
    </xf>
    <xf numFmtId="2" fontId="18" fillId="0" borderId="43" xfId="1" applyNumberFormat="1" applyFont="1" applyBorder="1" applyAlignment="1">
      <alignment horizontal="left"/>
    </xf>
    <xf numFmtId="2" fontId="18" fillId="0" borderId="34" xfId="1" applyNumberFormat="1" applyFont="1" applyBorder="1" applyAlignment="1">
      <alignment horizontal="left"/>
    </xf>
    <xf numFmtId="2" fontId="19" fillId="0" borderId="34" xfId="0" applyNumberFormat="1" applyFont="1" applyBorder="1" applyAlignment="1">
      <alignment horizontal="left"/>
    </xf>
    <xf numFmtId="2" fontId="18" fillId="0" borderId="33" xfId="0" applyNumberFormat="1" applyFont="1" applyBorder="1" applyAlignment="1">
      <alignment horizontal="left"/>
    </xf>
    <xf numFmtId="2" fontId="30" fillId="0" borderId="5" xfId="0" applyNumberFormat="1" applyFont="1" applyBorder="1" applyAlignment="1">
      <alignment horizontal="left"/>
    </xf>
    <xf numFmtId="0" fontId="20" fillId="0" borderId="13" xfId="0" applyFont="1" applyBorder="1" applyAlignment="1">
      <alignment horizontal="left"/>
    </xf>
    <xf numFmtId="1" fontId="18" fillId="0" borderId="16" xfId="1" applyNumberFormat="1" applyFont="1" applyBorder="1" applyAlignment="1">
      <alignment horizontal="left"/>
    </xf>
    <xf numFmtId="165" fontId="20" fillId="0" borderId="2" xfId="0" applyNumberFormat="1" applyFont="1" applyBorder="1" applyAlignment="1">
      <alignment horizontal="left"/>
    </xf>
    <xf numFmtId="3" fontId="20" fillId="0" borderId="43" xfId="0" applyNumberFormat="1" applyFont="1" applyBorder="1" applyAlignment="1">
      <alignment horizontal="left"/>
    </xf>
    <xf numFmtId="3" fontId="20" fillId="0" borderId="34" xfId="0" applyNumberFormat="1" applyFont="1" applyBorder="1" applyAlignment="1">
      <alignment horizontal="left"/>
    </xf>
    <xf numFmtId="165" fontId="20" fillId="0" borderId="3" xfId="0" applyNumberFormat="1" applyFont="1" applyBorder="1" applyAlignment="1">
      <alignment horizontal="left"/>
    </xf>
    <xf numFmtId="1" fontId="18" fillId="0" borderId="29" xfId="0" applyNumberFormat="1" applyFont="1" applyBorder="1" applyAlignment="1">
      <alignment horizontal="left"/>
    </xf>
    <xf numFmtId="1" fontId="27" fillId="0" borderId="13" xfId="0" applyNumberFormat="1" applyFont="1" applyBorder="1" applyAlignment="1">
      <alignment horizontal="left"/>
    </xf>
    <xf numFmtId="1" fontId="18" fillId="0" borderId="27" xfId="0" applyNumberFormat="1" applyFont="1" applyBorder="1" applyAlignment="1">
      <alignment horizontal="left"/>
    </xf>
    <xf numFmtId="1" fontId="19" fillId="0" borderId="14" xfId="0" applyNumberFormat="1" applyFont="1" applyBorder="1" applyAlignment="1">
      <alignment horizontal="left"/>
    </xf>
    <xf numFmtId="1" fontId="19" fillId="0" borderId="16" xfId="0" applyNumberFormat="1" applyFont="1" applyBorder="1" applyAlignment="1">
      <alignment horizontal="left"/>
    </xf>
    <xf numFmtId="1" fontId="19" fillId="0" borderId="23" xfId="0" applyNumberFormat="1" applyFont="1" applyBorder="1" applyAlignment="1">
      <alignment horizontal="left"/>
    </xf>
    <xf numFmtId="1" fontId="18" fillId="0" borderId="10" xfId="1" applyNumberFormat="1" applyFont="1" applyBorder="1" applyAlignment="1">
      <alignment horizontal="left"/>
    </xf>
    <xf numFmtId="1" fontId="18" fillId="0" borderId="23" xfId="1" applyNumberFormat="1" applyFont="1" applyBorder="1" applyAlignment="1">
      <alignment horizontal="left"/>
    </xf>
    <xf numFmtId="1" fontId="18" fillId="0" borderId="27" xfId="1" applyNumberFormat="1" applyFont="1" applyBorder="1" applyAlignment="1">
      <alignment horizontal="left"/>
    </xf>
    <xf numFmtId="1" fontId="18" fillId="0" borderId="32" xfId="1" applyNumberFormat="1" applyFont="1" applyBorder="1" applyAlignment="1">
      <alignment horizontal="left"/>
    </xf>
    <xf numFmtId="1" fontId="18" fillId="0" borderId="47" xfId="0" applyNumberFormat="1" applyFont="1" applyFill="1" applyBorder="1" applyAlignment="1">
      <alignment horizontal="left"/>
    </xf>
    <xf numFmtId="1" fontId="18" fillId="0" borderId="30" xfId="0" applyNumberFormat="1" applyFont="1" applyFill="1" applyBorder="1" applyAlignment="1">
      <alignment horizontal="left"/>
    </xf>
    <xf numFmtId="1" fontId="18" fillId="0" borderId="30" xfId="0" applyNumberFormat="1" applyFont="1" applyBorder="1" applyAlignment="1">
      <alignment horizontal="left"/>
    </xf>
    <xf numFmtId="1" fontId="18" fillId="0" borderId="31" xfId="0" applyNumberFormat="1" applyFont="1" applyFill="1" applyBorder="1" applyAlignment="1">
      <alignment horizontal="left"/>
    </xf>
    <xf numFmtId="1" fontId="20" fillId="0" borderId="7" xfId="0" applyNumberFormat="1" applyFont="1" applyBorder="1" applyAlignment="1">
      <alignment horizontal="left"/>
    </xf>
    <xf numFmtId="1" fontId="18" fillId="0" borderId="47" xfId="0" applyNumberFormat="1" applyFont="1" applyBorder="1" applyAlignment="1">
      <alignment horizontal="left" wrapText="1"/>
    </xf>
    <xf numFmtId="1" fontId="18" fillId="0" borderId="30" xfId="0" applyNumberFormat="1" applyFont="1" applyBorder="1" applyAlignment="1">
      <alignment horizontal="left" wrapText="1"/>
    </xf>
    <xf numFmtId="1" fontId="18" fillId="0" borderId="31" xfId="0" applyNumberFormat="1" applyFont="1" applyBorder="1" applyAlignment="1">
      <alignment horizontal="left" wrapText="1"/>
    </xf>
    <xf numFmtId="1" fontId="18" fillId="0" borderId="47" xfId="0" applyNumberFormat="1" applyFont="1" applyBorder="1" applyAlignment="1">
      <alignment horizontal="left"/>
    </xf>
    <xf numFmtId="1" fontId="19" fillId="0" borderId="30" xfId="0" applyNumberFormat="1" applyFont="1" applyBorder="1" applyAlignment="1">
      <alignment horizontal="left"/>
    </xf>
    <xf numFmtId="1" fontId="18" fillId="0" borderId="31" xfId="0" applyNumberFormat="1" applyFont="1" applyBorder="1" applyAlignment="1">
      <alignment horizontal="left"/>
    </xf>
    <xf numFmtId="1" fontId="1" fillId="0" borderId="30" xfId="0" applyNumberFormat="1" applyFont="1" applyBorder="1" applyAlignment="1">
      <alignment horizontal="left"/>
    </xf>
    <xf numFmtId="1" fontId="18" fillId="0" borderId="47" xfId="2" applyNumberFormat="1" applyFont="1" applyBorder="1" applyAlignment="1">
      <alignment horizontal="left"/>
    </xf>
    <xf numFmtId="1" fontId="18" fillId="0" borderId="30" xfId="2" applyNumberFormat="1" applyFont="1" applyBorder="1" applyAlignment="1">
      <alignment horizontal="left"/>
    </xf>
    <xf numFmtId="1" fontId="18" fillId="0" borderId="31" xfId="2" applyNumberFormat="1" applyFont="1" applyBorder="1" applyAlignment="1">
      <alignment horizontal="left"/>
    </xf>
    <xf numFmtId="1" fontId="18" fillId="0" borderId="47" xfId="0" applyNumberFormat="1" applyFont="1" applyBorder="1" applyAlignment="1">
      <alignment horizontal="left" vertical="center"/>
    </xf>
    <xf numFmtId="1" fontId="18" fillId="0" borderId="30" xfId="0" applyNumberFormat="1" applyFont="1" applyBorder="1" applyAlignment="1">
      <alignment horizontal="left" vertical="center"/>
    </xf>
    <xf numFmtId="1" fontId="19" fillId="0" borderId="30" xfId="0" applyNumberFormat="1" applyFont="1" applyBorder="1" applyAlignment="1">
      <alignment horizontal="left" vertical="center"/>
    </xf>
    <xf numFmtId="1" fontId="18" fillId="0" borderId="31" xfId="0" applyNumberFormat="1" applyFont="1" applyBorder="1" applyAlignment="1">
      <alignment horizontal="left" vertical="center"/>
    </xf>
    <xf numFmtId="1" fontId="19" fillId="0" borderId="27" xfId="0" applyNumberFormat="1" applyFont="1" applyBorder="1" applyAlignment="1">
      <alignment horizontal="left"/>
    </xf>
    <xf numFmtId="1" fontId="19" fillId="0" borderId="32" xfId="0" applyNumberFormat="1" applyFont="1" applyBorder="1" applyAlignment="1">
      <alignment horizontal="left"/>
    </xf>
    <xf numFmtId="1" fontId="23" fillId="0" borderId="22" xfId="1" applyNumberFormat="1" applyFont="1" applyBorder="1" applyAlignment="1">
      <alignment horizontal="left"/>
    </xf>
    <xf numFmtId="1" fontId="23" fillId="0" borderId="5" xfId="0" applyNumberFormat="1" applyFont="1" applyBorder="1" applyAlignment="1">
      <alignment horizontal="left"/>
    </xf>
    <xf numFmtId="1" fontId="23" fillId="0" borderId="22" xfId="0" applyNumberFormat="1" applyFont="1" applyBorder="1" applyAlignment="1">
      <alignment horizontal="left"/>
    </xf>
    <xf numFmtId="1" fontId="23" fillId="0" borderId="1" xfId="2" applyNumberFormat="1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2" fontId="18" fillId="0" borderId="6" xfId="0" applyNumberFormat="1" applyFont="1" applyBorder="1" applyAlignment="1">
      <alignment horizontal="left" vertical="center"/>
    </xf>
    <xf numFmtId="2" fontId="18" fillId="0" borderId="29" xfId="0" applyNumberFormat="1" applyFont="1" applyBorder="1" applyAlignment="1">
      <alignment horizontal="left" vertical="center"/>
    </xf>
    <xf numFmtId="2" fontId="23" fillId="0" borderId="28" xfId="0" applyNumberFormat="1" applyFont="1" applyBorder="1" applyAlignment="1">
      <alignment horizontal="left"/>
    </xf>
    <xf numFmtId="2" fontId="23" fillId="0" borderId="6" xfId="0" applyNumberFormat="1" applyFont="1" applyBorder="1" applyAlignment="1">
      <alignment horizontal="left"/>
    </xf>
    <xf numFmtId="2" fontId="23" fillId="0" borderId="29" xfId="0" applyNumberFormat="1" applyFont="1" applyBorder="1" applyAlignment="1">
      <alignment horizontal="left"/>
    </xf>
    <xf numFmtId="2" fontId="23" fillId="0" borderId="8" xfId="0" applyNumberFormat="1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2" fontId="18" fillId="0" borderId="8" xfId="2" applyNumberFormat="1" applyFont="1" applyBorder="1" applyAlignment="1">
      <alignment horizontal="left"/>
    </xf>
    <xf numFmtId="2" fontId="23" fillId="0" borderId="8" xfId="0" applyNumberFormat="1" applyFont="1" applyFill="1" applyBorder="1" applyAlignment="1">
      <alignment horizontal="left"/>
    </xf>
    <xf numFmtId="2" fontId="23" fillId="0" borderId="6" xfId="1" applyNumberFormat="1" applyFont="1" applyBorder="1" applyAlignment="1">
      <alignment horizontal="left"/>
    </xf>
    <xf numFmtId="2" fontId="23" fillId="0" borderId="8" xfId="1" applyNumberFormat="1" applyFont="1" applyBorder="1" applyAlignment="1">
      <alignment horizontal="left"/>
    </xf>
    <xf numFmtId="2" fontId="24" fillId="0" borderId="9" xfId="0" applyNumberFormat="1" applyFont="1" applyBorder="1" applyAlignment="1">
      <alignment horizontal="left"/>
    </xf>
    <xf numFmtId="2" fontId="23" fillId="0" borderId="28" xfId="1" applyNumberFormat="1" applyFont="1" applyBorder="1" applyAlignment="1">
      <alignment horizontal="left"/>
    </xf>
    <xf numFmtId="2" fontId="24" fillId="0" borderId="27" xfId="0" applyNumberFormat="1" applyFont="1" applyBorder="1" applyAlignment="1">
      <alignment horizontal="left"/>
    </xf>
    <xf numFmtId="0" fontId="28" fillId="0" borderId="37" xfId="0" applyFont="1" applyBorder="1" applyAlignment="1">
      <alignment horizontal="left"/>
    </xf>
    <xf numFmtId="0" fontId="28" fillId="0" borderId="48" xfId="0" applyFont="1" applyBorder="1" applyAlignment="1">
      <alignment horizontal="left"/>
    </xf>
    <xf numFmtId="0" fontId="28" fillId="0" borderId="49" xfId="0" applyFont="1" applyBorder="1" applyAlignment="1">
      <alignment horizontal="left"/>
    </xf>
    <xf numFmtId="1" fontId="26" fillId="0" borderId="48" xfId="0" applyNumberFormat="1" applyFont="1" applyBorder="1" applyAlignment="1">
      <alignment horizontal="left"/>
    </xf>
    <xf numFmtId="1" fontId="26" fillId="0" borderId="17" xfId="0" applyNumberFormat="1" applyFont="1" applyBorder="1" applyAlignment="1">
      <alignment horizontal="left"/>
    </xf>
    <xf numFmtId="1" fontId="28" fillId="0" borderId="18" xfId="1" applyNumberFormat="1" applyFont="1" applyBorder="1" applyAlignment="1">
      <alignment horizontal="left"/>
    </xf>
    <xf numFmtId="0" fontId="25" fillId="0" borderId="30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1" fontId="25" fillId="0" borderId="29" xfId="0" applyNumberFormat="1" applyFont="1" applyBorder="1" applyAlignment="1">
      <alignment horizontal="left"/>
    </xf>
    <xf numFmtId="0" fontId="25" fillId="0" borderId="27" xfId="0" applyFont="1" applyBorder="1" applyAlignment="1">
      <alignment horizontal="left"/>
    </xf>
    <xf numFmtId="0" fontId="26" fillId="0" borderId="50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8" fillId="0" borderId="6" xfId="0" applyFont="1" applyBorder="1" applyAlignment="1">
      <alignment horizontal="left"/>
    </xf>
    <xf numFmtId="0" fontId="28" fillId="0" borderId="8" xfId="0" applyFont="1" applyBorder="1" applyAlignment="1">
      <alignment horizontal="left"/>
    </xf>
    <xf numFmtId="2" fontId="28" fillId="0" borderId="14" xfId="0" applyNumberFormat="1" applyFont="1" applyBorder="1" applyAlignment="1">
      <alignment horizontal="left"/>
    </xf>
    <xf numFmtId="0" fontId="28" fillId="0" borderId="4" xfId="0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1" fontId="18" fillId="0" borderId="5" xfId="0" applyNumberFormat="1" applyFont="1" applyFill="1" applyBorder="1" applyAlignment="1">
      <alignment horizontal="left"/>
    </xf>
    <xf numFmtId="1" fontId="5" fillId="0" borderId="2" xfId="0" applyNumberFormat="1" applyFont="1" applyBorder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2" fillId="0" borderId="42" xfId="0" applyFont="1" applyBorder="1" applyAlignment="1">
      <alignment horizontal="left"/>
    </xf>
    <xf numFmtId="2" fontId="33" fillId="0" borderId="41" xfId="0" applyNumberFormat="1" applyFont="1" applyBorder="1" applyAlignment="1">
      <alignment horizontal="left" vertical="center"/>
    </xf>
    <xf numFmtId="2" fontId="33" fillId="0" borderId="44" xfId="0" applyNumberFormat="1" applyFont="1" applyBorder="1" applyAlignment="1">
      <alignment horizontal="left" vertical="center"/>
    </xf>
    <xf numFmtId="2" fontId="33" fillId="0" borderId="37" xfId="0" applyNumberFormat="1" applyFont="1" applyBorder="1" applyAlignment="1">
      <alignment horizontal="left" vertical="center"/>
    </xf>
    <xf numFmtId="2" fontId="33" fillId="0" borderId="45" xfId="0" applyNumberFormat="1" applyFont="1" applyBorder="1" applyAlignment="1">
      <alignment horizontal="left" vertical="center"/>
    </xf>
    <xf numFmtId="2" fontId="35" fillId="0" borderId="41" xfId="0" applyNumberFormat="1" applyFont="1" applyBorder="1" applyAlignment="1">
      <alignment horizontal="left"/>
    </xf>
    <xf numFmtId="2" fontId="35" fillId="0" borderId="37" xfId="1" applyNumberFormat="1" applyFont="1" applyBorder="1" applyAlignment="1">
      <alignment horizontal="left"/>
    </xf>
    <xf numFmtId="2" fontId="35" fillId="0" borderId="42" xfId="0" applyNumberFormat="1" applyFont="1" applyBorder="1" applyAlignment="1">
      <alignment horizontal="left"/>
    </xf>
    <xf numFmtId="0" fontId="36" fillId="0" borderId="0" xfId="0" applyFont="1" applyAlignment="1">
      <alignment horizontal="left"/>
    </xf>
    <xf numFmtId="0" fontId="32" fillId="0" borderId="51" xfId="0" applyFont="1" applyBorder="1" applyAlignment="1">
      <alignment horizontal="left"/>
    </xf>
    <xf numFmtId="2" fontId="33" fillId="0" borderId="52" xfId="0" applyNumberFormat="1" applyFont="1" applyBorder="1" applyAlignment="1">
      <alignment horizontal="left" vertical="center"/>
    </xf>
    <xf numFmtId="2" fontId="33" fillId="0" borderId="53" xfId="0" applyNumberFormat="1" applyFont="1" applyBorder="1" applyAlignment="1">
      <alignment horizontal="left" vertical="center"/>
    </xf>
    <xf numFmtId="2" fontId="33" fillId="0" borderId="54" xfId="0" applyNumberFormat="1" applyFont="1" applyBorder="1" applyAlignment="1">
      <alignment horizontal="left" vertical="center"/>
    </xf>
    <xf numFmtId="2" fontId="33" fillId="0" borderId="55" xfId="0" applyNumberFormat="1" applyFont="1" applyBorder="1" applyAlignment="1">
      <alignment horizontal="left" vertical="center"/>
    </xf>
    <xf numFmtId="2" fontId="35" fillId="0" borderId="52" xfId="0" applyNumberFormat="1" applyFont="1" applyBorder="1" applyAlignment="1">
      <alignment horizontal="left"/>
    </xf>
    <xf numFmtId="2" fontId="35" fillId="0" borderId="54" xfId="0" applyNumberFormat="1" applyFont="1" applyBorder="1" applyAlignment="1">
      <alignment horizontal="left"/>
    </xf>
    <xf numFmtId="2" fontId="35" fillId="0" borderId="51" xfId="0" applyNumberFormat="1" applyFont="1" applyBorder="1" applyAlignment="1">
      <alignment horizontal="left"/>
    </xf>
    <xf numFmtId="0" fontId="28" fillId="0" borderId="0" xfId="0" applyFont="1"/>
    <xf numFmtId="0" fontId="28" fillId="0" borderId="4" xfId="0" applyFont="1" applyBorder="1"/>
    <xf numFmtId="0" fontId="18" fillId="0" borderId="0" xfId="0" applyFont="1"/>
    <xf numFmtId="0" fontId="20" fillId="0" borderId="14" xfId="0" applyFont="1" applyBorder="1" applyAlignment="1">
      <alignment horizontal="left"/>
    </xf>
    <xf numFmtId="0" fontId="22" fillId="0" borderId="56" xfId="0" applyFont="1" applyBorder="1"/>
    <xf numFmtId="0" fontId="22" fillId="0" borderId="16" xfId="0" applyFont="1" applyBorder="1"/>
    <xf numFmtId="0" fontId="22" fillId="0" borderId="3" xfId="0" applyFont="1" applyBorder="1"/>
    <xf numFmtId="0" fontId="20" fillId="0" borderId="36" xfId="0" applyFont="1" applyBorder="1" applyAlignment="1">
      <alignment horizontal="left"/>
    </xf>
    <xf numFmtId="0" fontId="22" fillId="0" borderId="57" xfId="0" applyFont="1" applyBorder="1"/>
    <xf numFmtId="0" fontId="22" fillId="0" borderId="15" xfId="0" applyFont="1" applyBorder="1"/>
    <xf numFmtId="0" fontId="22" fillId="0" borderId="36" xfId="0" applyFont="1" applyBorder="1"/>
    <xf numFmtId="0" fontId="22" fillId="0" borderId="14" xfId="0" applyFont="1" applyBorder="1"/>
    <xf numFmtId="0" fontId="22" fillId="0" borderId="4" xfId="0" applyFont="1" applyBorder="1"/>
    <xf numFmtId="0" fontId="23" fillId="0" borderId="0" xfId="0" applyFont="1"/>
    <xf numFmtId="0" fontId="37" fillId="0" borderId="0" xfId="0" applyFont="1" applyAlignment="1">
      <alignment horizontal="left"/>
    </xf>
    <xf numFmtId="0" fontId="29" fillId="0" borderId="30" xfId="0" applyFont="1" applyBorder="1" applyAlignment="1">
      <alignment horizontal="left"/>
    </xf>
    <xf numFmtId="0" fontId="29" fillId="0" borderId="47" xfId="0" applyFont="1" applyBorder="1" applyAlignment="1">
      <alignment horizontal="left"/>
    </xf>
    <xf numFmtId="0" fontId="22" fillId="0" borderId="47" xfId="0" applyFont="1" applyBorder="1"/>
    <xf numFmtId="2" fontId="22" fillId="0" borderId="0" xfId="0" applyNumberFormat="1" applyFont="1"/>
    <xf numFmtId="0" fontId="22" fillId="0" borderId="30" xfId="0" applyFont="1" applyBorder="1"/>
    <xf numFmtId="1" fontId="38" fillId="0" borderId="19" xfId="0" applyNumberFormat="1" applyFont="1" applyFill="1" applyBorder="1" applyAlignment="1">
      <alignment horizontal="left" vertical="center"/>
    </xf>
    <xf numFmtId="1" fontId="38" fillId="0" borderId="18" xfId="0" applyNumberFormat="1" applyFont="1" applyFill="1" applyBorder="1" applyAlignment="1">
      <alignment horizontal="left" vertical="center"/>
    </xf>
    <xf numFmtId="1" fontId="38" fillId="0" borderId="20" xfId="0" applyNumberFormat="1" applyFont="1" applyFill="1" applyBorder="1" applyAlignment="1">
      <alignment horizontal="left" vertical="center"/>
    </xf>
    <xf numFmtId="1" fontId="38" fillId="0" borderId="21" xfId="0" applyNumberFormat="1" applyFont="1" applyBorder="1" applyAlignment="1">
      <alignment horizontal="left" vertical="center"/>
    </xf>
    <xf numFmtId="1" fontId="38" fillId="0" borderId="32" xfId="0" applyNumberFormat="1" applyFont="1" applyBorder="1" applyAlignment="1">
      <alignment horizontal="left" vertical="center"/>
    </xf>
    <xf numFmtId="1" fontId="38" fillId="0" borderId="0" xfId="0" applyNumberFormat="1" applyFont="1" applyFill="1" applyAlignment="1">
      <alignment horizontal="left"/>
    </xf>
    <xf numFmtId="1" fontId="38" fillId="0" borderId="1" xfId="0" applyNumberFormat="1" applyFont="1" applyBorder="1" applyAlignment="1">
      <alignment horizontal="left" vertical="center"/>
    </xf>
    <xf numFmtId="1" fontId="38" fillId="0" borderId="2" xfId="0" applyNumberFormat="1" applyFont="1" applyBorder="1" applyAlignment="1">
      <alignment horizontal="left" vertical="center"/>
    </xf>
    <xf numFmtId="1" fontId="38" fillId="0" borderId="3" xfId="0" applyNumberFormat="1" applyFont="1" applyBorder="1" applyAlignment="1">
      <alignment horizontal="left" vertical="center"/>
    </xf>
    <xf numFmtId="1" fontId="38" fillId="0" borderId="4" xfId="0" applyNumberFormat="1" applyFont="1" applyBorder="1" applyAlignment="1">
      <alignment horizontal="left" vertical="center"/>
    </xf>
    <xf numFmtId="1" fontId="38" fillId="0" borderId="14" xfId="0" applyNumberFormat="1" applyFont="1" applyBorder="1" applyAlignment="1">
      <alignment horizontal="left" vertical="center"/>
    </xf>
    <xf numFmtId="1" fontId="39" fillId="0" borderId="0" xfId="0" applyNumberFormat="1" applyFont="1" applyAlignment="1">
      <alignment horizontal="left"/>
    </xf>
    <xf numFmtId="1" fontId="39" fillId="0" borderId="2" xfId="0" applyNumberFormat="1" applyFont="1" applyBorder="1" applyAlignment="1">
      <alignment horizontal="left" vertical="center"/>
    </xf>
    <xf numFmtId="1" fontId="39" fillId="0" borderId="3" xfId="0" applyNumberFormat="1" applyFont="1" applyBorder="1" applyAlignment="1">
      <alignment horizontal="left" vertical="center"/>
    </xf>
    <xf numFmtId="1" fontId="39" fillId="0" borderId="4" xfId="0" applyNumberFormat="1" applyFont="1" applyBorder="1" applyAlignment="1">
      <alignment horizontal="left" vertical="center"/>
    </xf>
    <xf numFmtId="1" fontId="19" fillId="0" borderId="9" xfId="0" applyNumberFormat="1" applyFont="1" applyBorder="1" applyAlignment="1">
      <alignment horizontal="left" vertical="center"/>
    </xf>
    <xf numFmtId="1" fontId="19" fillId="0" borderId="6" xfId="0" applyNumberFormat="1" applyFont="1" applyBorder="1" applyAlignment="1">
      <alignment horizontal="left" vertical="center"/>
    </xf>
    <xf numFmtId="1" fontId="19" fillId="0" borderId="8" xfId="0" applyNumberFormat="1" applyFont="1" applyBorder="1" applyAlignment="1">
      <alignment horizontal="left" vertical="center"/>
    </xf>
    <xf numFmtId="1" fontId="18" fillId="0" borderId="6" xfId="0" applyNumberFormat="1" applyFont="1" applyFill="1" applyBorder="1" applyAlignment="1">
      <alignment horizontal="left" vertical="center" shrinkToFit="1"/>
    </xf>
    <xf numFmtId="1" fontId="18" fillId="0" borderId="8" xfId="0" applyNumberFormat="1" applyFont="1" applyFill="1" applyBorder="1" applyAlignment="1">
      <alignment horizontal="left" vertical="center" shrinkToFit="1"/>
    </xf>
    <xf numFmtId="1" fontId="19" fillId="0" borderId="28" xfId="0" applyNumberFormat="1" applyFont="1" applyBorder="1" applyAlignment="1">
      <alignment horizontal="left" vertical="center"/>
    </xf>
    <xf numFmtId="1" fontId="19" fillId="0" borderId="27" xfId="0" applyNumberFormat="1" applyFont="1" applyBorder="1" applyAlignment="1">
      <alignment horizontal="left" vertical="center"/>
    </xf>
    <xf numFmtId="0" fontId="38" fillId="0" borderId="58" xfId="0" applyFont="1" applyBorder="1" applyAlignment="1">
      <alignment horizontal="left"/>
    </xf>
    <xf numFmtId="0" fontId="38" fillId="0" borderId="55" xfId="0" applyFont="1" applyBorder="1" applyAlignment="1">
      <alignment horizontal="left"/>
    </xf>
    <xf numFmtId="0" fontId="28" fillId="0" borderId="9" xfId="0" applyFont="1" applyBorder="1"/>
    <xf numFmtId="0" fontId="28" fillId="0" borderId="0" xfId="0" applyFont="1" applyBorder="1"/>
    <xf numFmtId="0" fontId="28" fillId="0" borderId="20" xfId="0" applyFont="1" applyBorder="1"/>
    <xf numFmtId="1" fontId="27" fillId="0" borderId="14" xfId="0" applyNumberFormat="1" applyFont="1" applyBorder="1" applyAlignment="1">
      <alignment horizontal="left"/>
    </xf>
    <xf numFmtId="1" fontId="20" fillId="0" borderId="14" xfId="0" applyNumberFormat="1" applyFont="1" applyBorder="1" applyAlignment="1">
      <alignment horizontal="left"/>
    </xf>
    <xf numFmtId="1" fontId="20" fillId="0" borderId="59" xfId="0" applyNumberFormat="1" applyFont="1" applyBorder="1" applyAlignment="1">
      <alignment horizontal="left"/>
    </xf>
    <xf numFmtId="1" fontId="26" fillId="0" borderId="45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left"/>
    </xf>
    <xf numFmtId="0" fontId="38" fillId="0" borderId="25" xfId="0" applyFont="1" applyBorder="1" applyAlignment="1">
      <alignment horizontal="left"/>
    </xf>
    <xf numFmtId="0" fontId="41" fillId="0" borderId="0" xfId="0" applyFont="1"/>
    <xf numFmtId="0" fontId="42" fillId="0" borderId="0" xfId="0" applyFont="1"/>
    <xf numFmtId="0" fontId="40" fillId="0" borderId="59" xfId="0" applyFont="1" applyBorder="1" applyAlignment="1">
      <alignment horizontal="left"/>
    </xf>
    <xf numFmtId="1" fontId="40" fillId="0" borderId="12" xfId="0" applyNumberFormat="1" applyFont="1" applyBorder="1" applyAlignment="1">
      <alignment horizontal="left" vertical="center"/>
    </xf>
    <xf numFmtId="1" fontId="40" fillId="0" borderId="60" xfId="0" applyNumberFormat="1" applyFont="1" applyBorder="1" applyAlignment="1">
      <alignment horizontal="left" vertical="center"/>
    </xf>
    <xf numFmtId="1" fontId="40" fillId="0" borderId="61" xfId="0" applyNumberFormat="1" applyFont="1" applyBorder="1" applyAlignment="1">
      <alignment horizontal="left" vertical="center"/>
    </xf>
    <xf numFmtId="1" fontId="40" fillId="0" borderId="62" xfId="0" applyNumberFormat="1" applyFont="1" applyBorder="1" applyAlignment="1">
      <alignment horizontal="left"/>
    </xf>
    <xf numFmtId="1" fontId="40" fillId="0" borderId="59" xfId="0" applyNumberFormat="1" applyFont="1" applyBorder="1" applyAlignment="1">
      <alignment horizontal="left"/>
    </xf>
    <xf numFmtId="2" fontId="40" fillId="0" borderId="62" xfId="0" applyNumberFormat="1" applyFont="1" applyBorder="1" applyAlignment="1">
      <alignment horizontal="left"/>
    </xf>
    <xf numFmtId="2" fontId="40" fillId="0" borderId="59" xfId="0" applyNumberFormat="1" applyFont="1" applyBorder="1" applyAlignment="1">
      <alignment horizontal="left"/>
    </xf>
    <xf numFmtId="1" fontId="40" fillId="0" borderId="11" xfId="0" applyNumberFormat="1" applyFont="1" applyFill="1" applyBorder="1" applyAlignment="1">
      <alignment horizontal="left"/>
    </xf>
    <xf numFmtId="1" fontId="40" fillId="0" borderId="11" xfId="1" applyNumberFormat="1" applyFont="1" applyBorder="1" applyAlignment="1">
      <alignment horizontal="left"/>
    </xf>
    <xf numFmtId="1" fontId="40" fillId="0" borderId="12" xfId="1" applyNumberFormat="1" applyFont="1" applyBorder="1" applyAlignment="1">
      <alignment horizontal="left"/>
    </xf>
    <xf numFmtId="0" fontId="40" fillId="0" borderId="0" xfId="0" applyFont="1" applyAlignment="1">
      <alignment horizontal="left"/>
    </xf>
    <xf numFmtId="1" fontId="43" fillId="0" borderId="0" xfId="0" applyNumberFormat="1" applyFont="1"/>
    <xf numFmtId="1" fontId="28" fillId="0" borderId="5" xfId="2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left"/>
    </xf>
    <xf numFmtId="1" fontId="28" fillId="0" borderId="22" xfId="2" applyNumberFormat="1" applyFont="1" applyBorder="1" applyAlignment="1">
      <alignment horizontal="left"/>
    </xf>
    <xf numFmtId="1" fontId="25" fillId="0" borderId="22" xfId="0" applyNumberFormat="1" applyFont="1" applyBorder="1" applyAlignment="1">
      <alignment horizontal="left"/>
    </xf>
    <xf numFmtId="1" fontId="28" fillId="0" borderId="23" xfId="0" applyNumberFormat="1" applyFont="1" applyBorder="1" applyAlignment="1">
      <alignment horizontal="left"/>
    </xf>
    <xf numFmtId="1" fontId="28" fillId="0" borderId="63" xfId="0" applyNumberFormat="1" applyFont="1" applyBorder="1" applyAlignment="1">
      <alignment horizontal="left"/>
    </xf>
    <xf numFmtId="1" fontId="40" fillId="0" borderId="0" xfId="0" applyNumberFormat="1" applyFont="1" applyAlignment="1">
      <alignment horizontal="left"/>
    </xf>
    <xf numFmtId="1" fontId="26" fillId="0" borderId="32" xfId="0" applyNumberFormat="1" applyFont="1" applyBorder="1" applyAlignment="1">
      <alignment horizontal="left"/>
    </xf>
    <xf numFmtId="1" fontId="40" fillId="0" borderId="54" xfId="0" applyNumberFormat="1" applyFont="1" applyBorder="1" applyAlignment="1">
      <alignment horizontal="left" vertical="center"/>
    </xf>
    <xf numFmtId="1" fontId="40" fillId="0" borderId="51" xfId="0" applyNumberFormat="1" applyFont="1" applyBorder="1" applyAlignment="1">
      <alignment horizontal="left" vertical="center"/>
    </xf>
    <xf numFmtId="1" fontId="40" fillId="0" borderId="52" xfId="0" applyNumberFormat="1" applyFont="1" applyBorder="1" applyAlignment="1">
      <alignment horizontal="left" vertical="center"/>
    </xf>
    <xf numFmtId="1" fontId="40" fillId="0" borderId="54" xfId="0" applyNumberFormat="1" applyFont="1" applyBorder="1" applyAlignment="1">
      <alignment horizontal="left"/>
    </xf>
    <xf numFmtId="1" fontId="40" fillId="0" borderId="52" xfId="0" applyNumberFormat="1" applyFont="1" applyBorder="1" applyAlignment="1">
      <alignment horizontal="left"/>
    </xf>
    <xf numFmtId="1" fontId="40" fillId="0" borderId="52" xfId="1" applyNumberFormat="1" applyFont="1" applyBorder="1" applyAlignment="1">
      <alignment horizontal="left"/>
    </xf>
    <xf numFmtId="1" fontId="40" fillId="0" borderId="53" xfId="1" applyNumberFormat="1" applyFont="1" applyBorder="1" applyAlignment="1">
      <alignment horizontal="left"/>
    </xf>
    <xf numFmtId="1" fontId="40" fillId="0" borderId="51" xfId="0" applyNumberFormat="1" applyFont="1" applyBorder="1" applyAlignment="1">
      <alignment horizontal="left"/>
    </xf>
    <xf numFmtId="1" fontId="38" fillId="0" borderId="58" xfId="0" applyNumberFormat="1" applyFont="1" applyBorder="1" applyAlignment="1">
      <alignment horizontal="left"/>
    </xf>
    <xf numFmtId="1" fontId="44" fillId="0" borderId="53" xfId="0" applyNumberFormat="1" applyFont="1" applyBorder="1" applyAlignment="1">
      <alignment horizontal="left"/>
    </xf>
    <xf numFmtId="1" fontId="44" fillId="0" borderId="55" xfId="0" applyNumberFormat="1" applyFont="1" applyBorder="1" applyAlignment="1">
      <alignment horizontal="left"/>
    </xf>
    <xf numFmtId="1" fontId="44" fillId="0" borderId="53" xfId="0" applyNumberFormat="1" applyFont="1" applyFill="1" applyBorder="1" applyAlignment="1">
      <alignment horizontal="left"/>
    </xf>
    <xf numFmtId="1" fontId="44" fillId="0" borderId="0" xfId="0" applyNumberFormat="1" applyFont="1" applyAlignment="1">
      <alignment horizontal="left"/>
    </xf>
    <xf numFmtId="1" fontId="26" fillId="0" borderId="31" xfId="0" applyNumberFormat="1" applyFont="1" applyBorder="1" applyAlignment="1">
      <alignment horizontal="left"/>
    </xf>
    <xf numFmtId="0" fontId="40" fillId="0" borderId="64" xfId="0" applyFont="1" applyBorder="1" applyAlignment="1">
      <alignment horizontal="left"/>
    </xf>
    <xf numFmtId="0" fontId="40" fillId="0" borderId="24" xfId="0" applyFont="1" applyBorder="1" applyAlignment="1">
      <alignment horizontal="left"/>
    </xf>
    <xf numFmtId="1" fontId="43" fillId="0" borderId="0" xfId="0" applyNumberFormat="1" applyFont="1" applyAlignment="1">
      <alignment horizontal="left"/>
    </xf>
    <xf numFmtId="1" fontId="23" fillId="0" borderId="5" xfId="1" applyNumberFormat="1" applyFont="1" applyBorder="1" applyAlignment="1">
      <alignment horizontal="left"/>
    </xf>
    <xf numFmtId="1" fontId="24" fillId="0" borderId="30" xfId="0" applyNumberFormat="1" applyFont="1" applyBorder="1" applyAlignment="1">
      <alignment horizontal="left" vertical="center"/>
    </xf>
    <xf numFmtId="1" fontId="24" fillId="0" borderId="31" xfId="0" applyNumberFormat="1" applyFont="1" applyBorder="1" applyAlignment="1">
      <alignment horizontal="left" vertical="center"/>
    </xf>
    <xf numFmtId="1" fontId="40" fillId="0" borderId="65" xfId="0" applyNumberFormat="1" applyFont="1" applyBorder="1" applyAlignment="1">
      <alignment horizontal="left" vertical="center"/>
    </xf>
    <xf numFmtId="1" fontId="40" fillId="0" borderId="55" xfId="0" applyNumberFormat="1" applyFont="1" applyBorder="1" applyAlignment="1">
      <alignment horizontal="left"/>
    </xf>
    <xf numFmtId="0" fontId="43" fillId="0" borderId="0" xfId="0" applyFont="1" applyAlignment="1">
      <alignment horizontal="left"/>
    </xf>
    <xf numFmtId="0" fontId="40" fillId="0" borderId="55" xfId="0" applyFont="1" applyBorder="1" applyAlignment="1">
      <alignment horizontal="left"/>
    </xf>
    <xf numFmtId="0" fontId="43" fillId="0" borderId="0" xfId="0" applyFont="1"/>
    <xf numFmtId="0" fontId="38" fillId="0" borderId="42" xfId="0" applyFont="1" applyBorder="1" applyAlignment="1">
      <alignment horizontal="left"/>
    </xf>
    <xf numFmtId="0" fontId="39" fillId="0" borderId="51" xfId="0" applyFont="1" applyBorder="1" applyAlignment="1">
      <alignment horizontal="left" vertical="justify" wrapText="1"/>
    </xf>
    <xf numFmtId="0" fontId="38" fillId="0" borderId="58" xfId="0" applyFont="1" applyFill="1" applyBorder="1" applyAlignment="1">
      <alignment horizontal="left" vertical="justify" wrapText="1"/>
    </xf>
    <xf numFmtId="0" fontId="38" fillId="0" borderId="51" xfId="0" applyFont="1" applyBorder="1" applyAlignment="1">
      <alignment horizontal="left" vertical="justify" wrapText="1"/>
    </xf>
    <xf numFmtId="0" fontId="38" fillId="0" borderId="51" xfId="0" applyFont="1" applyFill="1" applyBorder="1" applyAlignment="1">
      <alignment horizontal="left" vertical="justify" wrapText="1"/>
    </xf>
    <xf numFmtId="0" fontId="39" fillId="0" borderId="0" xfId="0" applyFont="1" applyAlignment="1">
      <alignment horizontal="left" vertical="justify" wrapText="1"/>
    </xf>
    <xf numFmtId="2" fontId="38" fillId="0" borderId="51" xfId="0" applyNumberFormat="1" applyFont="1" applyBorder="1" applyAlignment="1">
      <alignment horizontal="left"/>
    </xf>
    <xf numFmtId="2" fontId="38" fillId="0" borderId="58" xfId="0" applyNumberFormat="1" applyFont="1" applyBorder="1" applyAlignment="1">
      <alignment horizontal="left" vertical="center"/>
    </xf>
    <xf numFmtId="2" fontId="38" fillId="0" borderId="58" xfId="0" applyNumberFormat="1" applyFont="1" applyBorder="1" applyAlignment="1">
      <alignment horizontal="left"/>
    </xf>
    <xf numFmtId="2" fontId="38" fillId="0" borderId="58" xfId="2" applyNumberFormat="1" applyFont="1" applyBorder="1" applyAlignment="1">
      <alignment horizontal="left"/>
    </xf>
    <xf numFmtId="2" fontId="38" fillId="0" borderId="58" xfId="0" applyNumberFormat="1" applyFont="1" applyBorder="1" applyAlignment="1">
      <alignment horizontal="left" wrapText="1"/>
    </xf>
    <xf numFmtId="2" fontId="38" fillId="0" borderId="58" xfId="0" applyNumberFormat="1" applyFont="1" applyFill="1" applyBorder="1" applyAlignment="1">
      <alignment horizontal="left"/>
    </xf>
    <xf numFmtId="2" fontId="38" fillId="0" borderId="51" xfId="1" applyNumberFormat="1" applyFont="1" applyBorder="1" applyAlignment="1">
      <alignment horizontal="left"/>
    </xf>
    <xf numFmtId="2" fontId="38" fillId="0" borderId="55" xfId="0" applyNumberFormat="1" applyFont="1" applyBorder="1" applyAlignment="1">
      <alignment horizontal="left"/>
    </xf>
    <xf numFmtId="2" fontId="3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" fontId="40" fillId="0" borderId="40" xfId="0" applyNumberFormat="1" applyFont="1" applyBorder="1" applyAlignment="1">
      <alignment horizontal="left"/>
    </xf>
    <xf numFmtId="1" fontId="28" fillId="0" borderId="66" xfId="0" applyNumberFormat="1" applyFont="1" applyBorder="1" applyAlignment="1">
      <alignment horizontal="left"/>
    </xf>
    <xf numFmtId="1" fontId="28" fillId="0" borderId="40" xfId="0" applyNumberFormat="1" applyFont="1" applyBorder="1" applyAlignment="1">
      <alignment horizontal="left"/>
    </xf>
    <xf numFmtId="1" fontId="40" fillId="0" borderId="66" xfId="0" applyNumberFormat="1" applyFont="1" applyBorder="1" applyAlignment="1">
      <alignment horizontal="left" vertical="center"/>
    </xf>
    <xf numFmtId="1" fontId="28" fillId="0" borderId="67" xfId="0" applyNumberFormat="1" applyFont="1" applyBorder="1" applyAlignment="1">
      <alignment horizontal="left"/>
    </xf>
    <xf numFmtId="1" fontId="28" fillId="0" borderId="49" xfId="0" applyNumberFormat="1" applyFont="1" applyBorder="1" applyAlignment="1">
      <alignment horizontal="left"/>
    </xf>
    <xf numFmtId="1" fontId="40" fillId="0" borderId="38" xfId="0" applyNumberFormat="1" applyFont="1" applyBorder="1" applyAlignment="1">
      <alignment horizontal="left" vertical="center"/>
    </xf>
    <xf numFmtId="1" fontId="40" fillId="0" borderId="40" xfId="0" applyNumberFormat="1" applyFont="1" applyBorder="1" applyAlignment="1">
      <alignment horizontal="left" vertical="center"/>
    </xf>
    <xf numFmtId="0" fontId="28" fillId="0" borderId="65" xfId="0" applyFont="1" applyBorder="1" applyAlignment="1">
      <alignment horizontal="left"/>
    </xf>
    <xf numFmtId="0" fontId="40" fillId="0" borderId="58" xfId="0" applyFont="1" applyBorder="1" applyAlignment="1">
      <alignment horizontal="left"/>
    </xf>
    <xf numFmtId="0" fontId="26" fillId="0" borderId="64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2" fontId="40" fillId="0" borderId="40" xfId="0" applyNumberFormat="1" applyFont="1" applyBorder="1" applyAlignment="1">
      <alignment horizontal="left" vertical="center"/>
    </xf>
    <xf numFmtId="0" fontId="28" fillId="0" borderId="66" xfId="0" applyFont="1" applyBorder="1" applyAlignment="1">
      <alignment horizontal="left"/>
    </xf>
    <xf numFmtId="1" fontId="26" fillId="0" borderId="45" xfId="0" applyNumberFormat="1" applyFont="1" applyFill="1" applyBorder="1" applyAlignment="1">
      <alignment horizontal="center" vertical="justify" wrapText="1"/>
    </xf>
    <xf numFmtId="1" fontId="40" fillId="0" borderId="51" xfId="0" applyNumberFormat="1" applyFont="1" applyBorder="1" applyAlignment="1">
      <alignment horizontal="center" vertical="justify" wrapText="1"/>
    </xf>
    <xf numFmtId="1" fontId="26" fillId="0" borderId="42" xfId="0" applyNumberFormat="1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/>
    </xf>
    <xf numFmtId="0" fontId="28" fillId="0" borderId="18" xfId="0" applyFont="1" applyBorder="1" applyAlignment="1">
      <alignment horizontal="left"/>
    </xf>
    <xf numFmtId="0" fontId="28" fillId="0" borderId="20" xfId="0" applyFont="1" applyBorder="1" applyAlignment="1">
      <alignment horizontal="left"/>
    </xf>
    <xf numFmtId="1" fontId="23" fillId="0" borderId="3" xfId="2" applyNumberFormat="1" applyFont="1" applyBorder="1" applyAlignment="1">
      <alignment horizontal="left"/>
    </xf>
    <xf numFmtId="1" fontId="26" fillId="0" borderId="42" xfId="0" applyNumberFormat="1" applyFont="1" applyFill="1" applyBorder="1" applyAlignment="1">
      <alignment horizontal="center" vertical="justify" wrapText="1"/>
    </xf>
    <xf numFmtId="2" fontId="19" fillId="0" borderId="27" xfId="0" applyNumberFormat="1" applyFont="1" applyBorder="1" applyAlignment="1">
      <alignment horizontal="left" vertical="center"/>
    </xf>
    <xf numFmtId="2" fontId="1" fillId="0" borderId="5" xfId="0" applyNumberFormat="1" applyFont="1" applyBorder="1" applyAlignment="1">
      <alignment horizontal="left"/>
    </xf>
    <xf numFmtId="2" fontId="19" fillId="0" borderId="3" xfId="2" applyNumberFormat="1" applyFont="1" applyBorder="1" applyAlignment="1">
      <alignment horizontal="left"/>
    </xf>
    <xf numFmtId="2" fontId="18" fillId="0" borderId="29" xfId="0" applyNumberFormat="1" applyFont="1" applyBorder="1" applyAlignment="1">
      <alignment horizontal="left"/>
    </xf>
    <xf numFmtId="2" fontId="18" fillId="0" borderId="22" xfId="0" applyNumberFormat="1" applyFont="1" applyBorder="1" applyAlignment="1">
      <alignment horizontal="left"/>
    </xf>
    <xf numFmtId="2" fontId="19" fillId="0" borderId="39" xfId="0" applyNumberFormat="1" applyFont="1" applyBorder="1" applyAlignment="1">
      <alignment horizontal="left"/>
    </xf>
    <xf numFmtId="2" fontId="18" fillId="0" borderId="28" xfId="2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2" fontId="23" fillId="0" borderId="29" xfId="1" applyNumberFormat="1" applyFont="1" applyBorder="1" applyAlignment="1">
      <alignment horizontal="left"/>
    </xf>
    <xf numFmtId="2" fontId="23" fillId="0" borderId="5" xfId="1" applyNumberFormat="1" applyFont="1" applyBorder="1" applyAlignment="1">
      <alignment horizontal="left"/>
    </xf>
    <xf numFmtId="2" fontId="23" fillId="0" borderId="22" xfId="1" applyNumberFormat="1" applyFont="1" applyBorder="1" applyAlignment="1">
      <alignment horizontal="left"/>
    </xf>
    <xf numFmtId="2" fontId="23" fillId="0" borderId="39" xfId="1" applyNumberFormat="1" applyFont="1" applyBorder="1" applyAlignment="1">
      <alignment horizontal="left"/>
    </xf>
    <xf numFmtId="1" fontId="18" fillId="0" borderId="18" xfId="0" applyNumberFormat="1" applyFont="1" applyBorder="1" applyAlignment="1">
      <alignment horizontal="left" vertical="center"/>
    </xf>
    <xf numFmtId="1" fontId="18" fillId="0" borderId="19" xfId="0" applyNumberFormat="1" applyFont="1" applyBorder="1" applyAlignment="1">
      <alignment horizontal="left"/>
    </xf>
    <xf numFmtId="1" fontId="18" fillId="0" borderId="18" xfId="0" applyNumberFormat="1" applyFont="1" applyBorder="1" applyAlignment="1">
      <alignment horizontal="left"/>
    </xf>
    <xf numFmtId="1" fontId="18" fillId="0" borderId="22" xfId="0" applyNumberFormat="1" applyFont="1" applyBorder="1" applyAlignment="1">
      <alignment horizontal="left"/>
    </xf>
    <xf numFmtId="3" fontId="20" fillId="0" borderId="19" xfId="0" applyNumberFormat="1" applyFont="1" applyBorder="1" applyAlignment="1">
      <alignment horizontal="left"/>
    </xf>
    <xf numFmtId="3" fontId="20" fillId="0" borderId="18" xfId="0" applyNumberFormat="1" applyFont="1" applyBorder="1" applyAlignment="1">
      <alignment horizontal="left"/>
    </xf>
    <xf numFmtId="1" fontId="18" fillId="0" borderId="19" xfId="0" applyNumberFormat="1" applyFont="1" applyFill="1" applyBorder="1" applyAlignment="1">
      <alignment horizontal="left"/>
    </xf>
    <xf numFmtId="1" fontId="18" fillId="0" borderId="18" xfId="0" applyNumberFormat="1" applyFont="1" applyFill="1" applyBorder="1" applyAlignment="1">
      <alignment horizontal="left"/>
    </xf>
    <xf numFmtId="1" fontId="18" fillId="0" borderId="19" xfId="1" applyNumberFormat="1" applyFont="1" applyBorder="1" applyAlignment="1">
      <alignment horizontal="left"/>
    </xf>
    <xf numFmtId="1" fontId="18" fillId="0" borderId="18" xfId="1" applyNumberFormat="1" applyFont="1" applyBorder="1" applyAlignment="1">
      <alignment horizontal="left"/>
    </xf>
    <xf numFmtId="1" fontId="19" fillId="0" borderId="67" xfId="0" applyNumberFormat="1" applyFont="1" applyBorder="1" applyAlignment="1">
      <alignment horizontal="left"/>
    </xf>
    <xf numFmtId="1" fontId="19" fillId="0" borderId="49" xfId="0" applyNumberFormat="1" applyFont="1" applyBorder="1" applyAlignment="1">
      <alignment horizontal="left"/>
    </xf>
    <xf numFmtId="1" fontId="19" fillId="0" borderId="48" xfId="0" applyNumberFormat="1" applyFont="1" applyBorder="1" applyAlignment="1">
      <alignment horizontal="left"/>
    </xf>
    <xf numFmtId="1" fontId="19" fillId="0" borderId="17" xfId="0" applyNumberFormat="1" applyFont="1" applyBorder="1" applyAlignment="1">
      <alignment horizontal="left"/>
    </xf>
    <xf numFmtId="1" fontId="33" fillId="0" borderId="54" xfId="0" applyNumberFormat="1" applyFont="1" applyBorder="1" applyAlignment="1">
      <alignment horizontal="left" vertical="center"/>
    </xf>
    <xf numFmtId="1" fontId="33" fillId="0" borderId="58" xfId="0" applyNumberFormat="1" applyFont="1" applyBorder="1" applyAlignment="1">
      <alignment horizontal="left" vertical="center"/>
    </xf>
    <xf numFmtId="1" fontId="33" fillId="0" borderId="65" xfId="0" applyNumberFormat="1" applyFont="1" applyBorder="1" applyAlignment="1">
      <alignment horizontal="left" vertical="center"/>
    </xf>
    <xf numFmtId="1" fontId="33" fillId="0" borderId="66" xfId="0" applyNumberFormat="1" applyFont="1" applyBorder="1" applyAlignment="1">
      <alignment horizontal="left" vertical="center"/>
    </xf>
    <xf numFmtId="1" fontId="33" fillId="0" borderId="52" xfId="0" applyNumberFormat="1" applyFont="1" applyBorder="1" applyAlignment="1">
      <alignment horizontal="left" vertical="center"/>
    </xf>
    <xf numFmtId="1" fontId="33" fillId="0" borderId="51" xfId="0" applyNumberFormat="1" applyFont="1" applyBorder="1" applyAlignment="1">
      <alignment horizontal="left" vertical="center"/>
    </xf>
    <xf numFmtId="1" fontId="33" fillId="0" borderId="65" xfId="0" applyNumberFormat="1" applyFont="1" applyBorder="1" applyAlignment="1">
      <alignment horizontal="left"/>
    </xf>
    <xf numFmtId="1" fontId="33" fillId="0" borderId="66" xfId="0" applyNumberFormat="1" applyFont="1" applyBorder="1" applyAlignment="1">
      <alignment horizontal="left"/>
    </xf>
    <xf numFmtId="1" fontId="31" fillId="0" borderId="52" xfId="1" applyNumberFormat="1" applyFont="1" applyBorder="1" applyAlignment="1">
      <alignment horizontal="left"/>
    </xf>
    <xf numFmtId="1" fontId="31" fillId="0" borderId="55" xfId="1" applyNumberFormat="1" applyFont="1" applyBorder="1" applyAlignment="1">
      <alignment horizontal="left"/>
    </xf>
    <xf numFmtId="1" fontId="33" fillId="0" borderId="52" xfId="0" applyNumberFormat="1" applyFont="1" applyBorder="1" applyAlignment="1">
      <alignment horizontal="left"/>
    </xf>
    <xf numFmtId="1" fontId="33" fillId="0" borderId="55" xfId="0" applyNumberFormat="1" applyFont="1" applyBorder="1" applyAlignment="1">
      <alignment horizontal="left"/>
    </xf>
    <xf numFmtId="1" fontId="19" fillId="0" borderId="21" xfId="0" applyNumberFormat="1" applyFont="1" applyBorder="1" applyAlignment="1">
      <alignment horizontal="left" vertical="center"/>
    </xf>
    <xf numFmtId="1" fontId="19" fillId="0" borderId="23" xfId="0" applyNumberFormat="1" applyFont="1" applyBorder="1" applyAlignment="1">
      <alignment horizontal="left" vertical="center"/>
    </xf>
    <xf numFmtId="1" fontId="19" fillId="0" borderId="20" xfId="0" applyNumberFormat="1" applyFont="1" applyBorder="1" applyAlignment="1">
      <alignment horizontal="left"/>
    </xf>
    <xf numFmtId="1" fontId="1" fillId="0" borderId="19" xfId="0" applyNumberFormat="1" applyFont="1" applyBorder="1" applyAlignment="1">
      <alignment horizontal="left"/>
    </xf>
    <xf numFmtId="1" fontId="1" fillId="0" borderId="18" xfId="0" applyNumberFormat="1" applyFont="1" applyBorder="1" applyAlignment="1">
      <alignment horizontal="left"/>
    </xf>
    <xf numFmtId="1" fontId="4" fillId="0" borderId="19" xfId="2" applyNumberFormat="1" applyFont="1" applyBorder="1" applyAlignment="1">
      <alignment horizontal="left"/>
    </xf>
    <xf numFmtId="1" fontId="4" fillId="0" borderId="18" xfId="2" applyNumberFormat="1" applyFont="1" applyBorder="1" applyAlignment="1">
      <alignment horizontal="left"/>
    </xf>
    <xf numFmtId="1" fontId="4" fillId="0" borderId="19" xfId="0" applyNumberFormat="1" applyFont="1" applyBorder="1" applyAlignment="1">
      <alignment horizontal="left"/>
    </xf>
    <xf numFmtId="1" fontId="4" fillId="0" borderId="18" xfId="0" applyNumberFormat="1" applyFont="1" applyBorder="1" applyAlignment="1">
      <alignment horizontal="left"/>
    </xf>
    <xf numFmtId="1" fontId="18" fillId="0" borderId="19" xfId="0" applyNumberFormat="1" applyFont="1" applyFill="1" applyBorder="1" applyAlignment="1">
      <alignment horizontal="left" vertical="top" wrapText="1"/>
    </xf>
    <xf numFmtId="1" fontId="18" fillId="0" borderId="18" xfId="0" applyNumberFormat="1" applyFont="1" applyFill="1" applyBorder="1" applyAlignment="1">
      <alignment horizontal="left" vertical="top" wrapText="1"/>
    </xf>
    <xf numFmtId="1" fontId="4" fillId="0" borderId="22" xfId="0" applyNumberFormat="1" applyFont="1" applyFill="1" applyBorder="1" applyAlignment="1">
      <alignment horizontal="left"/>
    </xf>
    <xf numFmtId="1" fontId="4" fillId="0" borderId="18" xfId="0" applyNumberFormat="1" applyFont="1" applyFill="1" applyBorder="1" applyAlignment="1">
      <alignment horizontal="left"/>
    </xf>
    <xf numFmtId="1" fontId="4" fillId="0" borderId="19" xfId="1" applyNumberFormat="1" applyFont="1" applyBorder="1" applyAlignment="1">
      <alignment horizontal="left"/>
    </xf>
    <xf numFmtId="1" fontId="4" fillId="0" borderId="18" xfId="1" applyNumberFormat="1" applyFont="1" applyBorder="1" applyAlignment="1">
      <alignment horizontal="left"/>
    </xf>
    <xf numFmtId="1" fontId="19" fillId="0" borderId="20" xfId="0" applyNumberFormat="1" applyFont="1" applyBorder="1" applyAlignment="1">
      <alignment horizontal="left" vertical="center"/>
    </xf>
    <xf numFmtId="1" fontId="19" fillId="0" borderId="32" xfId="0" applyNumberFormat="1" applyFont="1" applyBorder="1" applyAlignment="1">
      <alignment horizontal="left" vertical="center"/>
    </xf>
    <xf numFmtId="1" fontId="26" fillId="0" borderId="45" xfId="0" applyNumberFormat="1" applyFont="1" applyFill="1" applyBorder="1" applyAlignment="1">
      <alignment horizontal="center" vertical="center" wrapText="1"/>
    </xf>
    <xf numFmtId="0" fontId="45" fillId="0" borderId="30" xfId="0" applyFont="1" applyBorder="1"/>
    <xf numFmtId="0" fontId="45" fillId="0" borderId="0" xfId="0" applyFont="1"/>
    <xf numFmtId="1" fontId="23" fillId="0" borderId="1" xfId="0" applyNumberFormat="1" applyFont="1" applyFill="1" applyBorder="1" applyAlignment="1">
      <alignment horizontal="left"/>
    </xf>
    <xf numFmtId="1" fontId="40" fillId="0" borderId="12" xfId="0" applyNumberFormat="1" applyFont="1" applyBorder="1" applyAlignment="1">
      <alignment horizontal="left"/>
    </xf>
    <xf numFmtId="3" fontId="40" fillId="0" borderId="12" xfId="0" applyNumberFormat="1" applyFont="1" applyBorder="1" applyAlignment="1">
      <alignment horizontal="left"/>
    </xf>
    <xf numFmtId="1" fontId="23" fillId="0" borderId="30" xfId="0" applyNumberFormat="1" applyFont="1" applyBorder="1" applyAlignment="1">
      <alignment horizontal="left" vertical="center"/>
    </xf>
    <xf numFmtId="1" fontId="23" fillId="0" borderId="14" xfId="0" applyNumberFormat="1" applyFont="1" applyBorder="1" applyAlignment="1">
      <alignment horizontal="left" vertical="center"/>
    </xf>
    <xf numFmtId="0" fontId="24" fillId="0" borderId="68" xfId="0" applyFont="1" applyBorder="1" applyAlignment="1">
      <alignment horizontal="center" vertical="center"/>
    </xf>
    <xf numFmtId="0" fontId="25" fillId="0" borderId="31" xfId="0" applyFont="1" applyBorder="1" applyAlignment="1">
      <alignment horizontal="left"/>
    </xf>
    <xf numFmtId="0" fontId="22" fillId="0" borderId="31" xfId="0" applyFont="1" applyBorder="1"/>
    <xf numFmtId="0" fontId="46" fillId="0" borderId="58" xfId="0" applyFont="1" applyBorder="1" applyAlignment="1">
      <alignment horizontal="center" vertical="center"/>
    </xf>
    <xf numFmtId="2" fontId="18" fillId="0" borderId="69" xfId="0" applyNumberFormat="1" applyFont="1" applyBorder="1" applyAlignment="1">
      <alignment horizontal="left"/>
    </xf>
    <xf numFmtId="1" fontId="19" fillId="0" borderId="70" xfId="0" applyNumberFormat="1" applyFont="1" applyBorder="1" applyAlignment="1">
      <alignment horizontal="left"/>
    </xf>
    <xf numFmtId="1" fontId="24" fillId="0" borderId="28" xfId="0" applyNumberFormat="1" applyFont="1" applyBorder="1" applyAlignment="1">
      <alignment horizontal="left" vertical="center"/>
    </xf>
    <xf numFmtId="1" fontId="24" fillId="0" borderId="6" xfId="0" applyNumberFormat="1" applyFont="1" applyBorder="1" applyAlignment="1">
      <alignment horizontal="left" vertical="center"/>
    </xf>
    <xf numFmtId="1" fontId="24" fillId="0" borderId="8" xfId="0" applyNumberFormat="1" applyFont="1" applyBorder="1" applyAlignment="1">
      <alignment horizontal="left" vertical="center"/>
    </xf>
    <xf numFmtId="1" fontId="24" fillId="0" borderId="9" xfId="0" applyNumberFormat="1" applyFont="1" applyBorder="1" applyAlignment="1">
      <alignment horizontal="left" vertical="center"/>
    </xf>
    <xf numFmtId="1" fontId="24" fillId="0" borderId="29" xfId="0" applyNumberFormat="1" applyFont="1" applyBorder="1" applyAlignment="1">
      <alignment horizontal="left" vertical="center"/>
    </xf>
    <xf numFmtId="1" fontId="24" fillId="0" borderId="47" xfId="0" applyNumberFormat="1" applyFont="1" applyBorder="1" applyAlignment="1">
      <alignment horizontal="left" vertical="center"/>
    </xf>
    <xf numFmtId="1" fontId="24" fillId="0" borderId="27" xfId="0" applyNumberFormat="1" applyFont="1" applyBorder="1" applyAlignment="1">
      <alignment horizontal="left" vertical="center"/>
    </xf>
    <xf numFmtId="1" fontId="23" fillId="0" borderId="0" xfId="0" applyNumberFormat="1" applyFont="1" applyBorder="1" applyAlignment="1">
      <alignment horizontal="left"/>
    </xf>
    <xf numFmtId="1" fontId="5" fillId="0" borderId="3" xfId="0" applyNumberFormat="1" applyFont="1" applyBorder="1" applyAlignment="1">
      <alignment horizontal="left"/>
    </xf>
    <xf numFmtId="1" fontId="5" fillId="0" borderId="19" xfId="0" applyNumberFormat="1" applyFont="1" applyBorder="1" applyAlignment="1">
      <alignment horizontal="left"/>
    </xf>
    <xf numFmtId="1" fontId="5" fillId="0" borderId="18" xfId="0" applyNumberFormat="1" applyFont="1" applyBorder="1" applyAlignment="1">
      <alignment horizontal="left"/>
    </xf>
    <xf numFmtId="1" fontId="46" fillId="0" borderId="58" xfId="0" applyNumberFormat="1" applyFont="1" applyFill="1" applyBorder="1" applyAlignment="1">
      <alignment horizontal="left"/>
    </xf>
    <xf numFmtId="1" fontId="29" fillId="0" borderId="71" xfId="0" applyNumberFormat="1" applyFont="1" applyBorder="1" applyAlignment="1">
      <alignment horizontal="left"/>
    </xf>
    <xf numFmtId="1" fontId="27" fillId="0" borderId="6" xfId="0" applyNumberFormat="1" applyFont="1" applyBorder="1" applyAlignment="1">
      <alignment horizontal="left"/>
    </xf>
    <xf numFmtId="1" fontId="27" fillId="0" borderId="8" xfId="0" applyNumberFormat="1" applyFont="1" applyBorder="1" applyAlignment="1">
      <alignment horizontal="left"/>
    </xf>
    <xf numFmtId="1" fontId="27" fillId="0" borderId="2" xfId="0" applyNumberFormat="1" applyFont="1" applyBorder="1" applyAlignment="1">
      <alignment horizontal="left"/>
    </xf>
    <xf numFmtId="1" fontId="27" fillId="0" borderId="3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2" xfId="2" applyNumberFormat="1" applyFont="1" applyBorder="1" applyAlignment="1">
      <alignment horizontal="left"/>
    </xf>
    <xf numFmtId="1" fontId="19" fillId="0" borderId="5" xfId="2" applyNumberFormat="1" applyFont="1" applyBorder="1" applyAlignment="1">
      <alignment horizontal="left"/>
    </xf>
    <xf numFmtId="1" fontId="19" fillId="0" borderId="2" xfId="0" applyNumberFormat="1" applyFont="1" applyFill="1" applyBorder="1" applyAlignment="1">
      <alignment horizontal="left"/>
    </xf>
    <xf numFmtId="1" fontId="19" fillId="0" borderId="3" xfId="0" applyNumberFormat="1" applyFont="1" applyFill="1" applyBorder="1" applyAlignment="1">
      <alignment horizontal="left"/>
    </xf>
    <xf numFmtId="1" fontId="19" fillId="0" borderId="29" xfId="0" applyNumberFormat="1" applyFont="1" applyBorder="1" applyAlignment="1">
      <alignment horizontal="left" vertical="center"/>
    </xf>
    <xf numFmtId="1" fontId="19" fillId="0" borderId="10" xfId="0" applyNumberFormat="1" applyFont="1" applyBorder="1" applyAlignment="1">
      <alignment horizontal="left" vertical="center"/>
    </xf>
    <xf numFmtId="0" fontId="33" fillId="0" borderId="51" xfId="0" applyFont="1" applyBorder="1" applyAlignment="1">
      <alignment horizontal="left"/>
    </xf>
    <xf numFmtId="1" fontId="18" fillId="0" borderId="10" xfId="0" applyNumberFormat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" fontId="1" fillId="0" borderId="49" xfId="0" applyNumberFormat="1" applyFont="1" applyBorder="1" applyAlignment="1">
      <alignment horizontal="left" vertical="center"/>
    </xf>
    <xf numFmtId="1" fontId="4" fillId="0" borderId="67" xfId="0" applyNumberFormat="1" applyFont="1" applyBorder="1" applyAlignment="1">
      <alignment horizontal="left"/>
    </xf>
    <xf numFmtId="1" fontId="4" fillId="0" borderId="49" xfId="0" applyNumberFormat="1" applyFont="1" applyBorder="1" applyAlignment="1">
      <alignment horizontal="left"/>
    </xf>
    <xf numFmtId="1" fontId="1" fillId="0" borderId="48" xfId="0" applyNumberFormat="1" applyFont="1" applyBorder="1" applyAlignment="1">
      <alignment horizontal="left"/>
    </xf>
    <xf numFmtId="1" fontId="1" fillId="0" borderId="67" xfId="0" applyNumberFormat="1" applyFont="1" applyBorder="1" applyAlignment="1">
      <alignment horizontal="left"/>
    </xf>
    <xf numFmtId="1" fontId="1" fillId="0" borderId="49" xfId="0" applyNumberFormat="1" applyFont="1" applyBorder="1" applyAlignment="1">
      <alignment horizontal="left"/>
    </xf>
    <xf numFmtId="1" fontId="4" fillId="0" borderId="72" xfId="0" applyNumberFormat="1" applyFont="1" applyBorder="1" applyAlignment="1">
      <alignment horizontal="left"/>
    </xf>
    <xf numFmtId="2" fontId="4" fillId="0" borderId="49" xfId="0" applyNumberFormat="1" applyFont="1" applyBorder="1" applyAlignment="1">
      <alignment horizontal="left"/>
    </xf>
    <xf numFmtId="0" fontId="4" fillId="0" borderId="67" xfId="0" applyFont="1" applyBorder="1" applyAlignment="1">
      <alignment horizontal="left"/>
    </xf>
    <xf numFmtId="0" fontId="4" fillId="0" borderId="49" xfId="0" applyFont="1" applyBorder="1" applyAlignment="1">
      <alignment horizontal="left"/>
    </xf>
    <xf numFmtId="1" fontId="4" fillId="0" borderId="67" xfId="0" applyNumberFormat="1" applyFont="1" applyFill="1" applyBorder="1" applyAlignment="1">
      <alignment horizontal="left"/>
    </xf>
    <xf numFmtId="1" fontId="4" fillId="0" borderId="49" xfId="0" applyNumberFormat="1" applyFont="1" applyFill="1" applyBorder="1" applyAlignment="1">
      <alignment horizontal="left"/>
    </xf>
    <xf numFmtId="1" fontId="4" fillId="0" borderId="67" xfId="1" applyNumberFormat="1" applyFont="1" applyBorder="1" applyAlignment="1">
      <alignment horizontal="left"/>
    </xf>
    <xf numFmtId="1" fontId="4" fillId="0" borderId="49" xfId="1" applyNumberFormat="1" applyFont="1" applyBorder="1" applyAlignment="1">
      <alignment horizontal="left"/>
    </xf>
    <xf numFmtId="1" fontId="1" fillId="0" borderId="17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" fontId="19" fillId="0" borderId="19" xfId="0" applyNumberFormat="1" applyFont="1" applyBorder="1" applyAlignment="1">
      <alignment horizontal="left" vertical="center"/>
    </xf>
    <xf numFmtId="1" fontId="19" fillId="0" borderId="18" xfId="0" applyNumberFormat="1" applyFont="1" applyBorder="1" applyAlignment="1">
      <alignment horizontal="left" vertical="center"/>
    </xf>
    <xf numFmtId="1" fontId="33" fillId="0" borderId="73" xfId="0" applyNumberFormat="1" applyFont="1" applyBorder="1" applyAlignment="1">
      <alignment horizontal="left" vertical="center"/>
    </xf>
    <xf numFmtId="1" fontId="33" fillId="0" borderId="55" xfId="0" applyNumberFormat="1" applyFont="1" applyBorder="1" applyAlignment="1">
      <alignment horizontal="left" vertical="center"/>
    </xf>
    <xf numFmtId="1" fontId="19" fillId="0" borderId="19" xfId="0" applyNumberFormat="1" applyFont="1" applyBorder="1" applyAlignment="1">
      <alignment horizontal="left"/>
    </xf>
    <xf numFmtId="1" fontId="19" fillId="0" borderId="18" xfId="0" applyNumberFormat="1" applyFont="1" applyBorder="1" applyAlignment="1">
      <alignment horizontal="left"/>
    </xf>
    <xf numFmtId="1" fontId="19" fillId="0" borderId="19" xfId="2" applyNumberFormat="1" applyFont="1" applyBorder="1" applyAlignment="1">
      <alignment horizontal="left"/>
    </xf>
    <xf numFmtId="1" fontId="19" fillId="0" borderId="22" xfId="2" applyNumberFormat="1" applyFont="1" applyBorder="1" applyAlignment="1">
      <alignment horizontal="left"/>
    </xf>
    <xf numFmtId="1" fontId="27" fillId="0" borderId="19" xfId="0" applyNumberFormat="1" applyFont="1" applyBorder="1" applyAlignment="1">
      <alignment horizontal="left"/>
    </xf>
    <xf numFmtId="1" fontId="27" fillId="0" borderId="18" xfId="0" applyNumberFormat="1" applyFont="1" applyBorder="1" applyAlignment="1">
      <alignment horizontal="left"/>
    </xf>
    <xf numFmtId="1" fontId="19" fillId="0" borderId="19" xfId="0" applyNumberFormat="1" applyFont="1" applyFill="1" applyBorder="1" applyAlignment="1">
      <alignment horizontal="left"/>
    </xf>
    <xf numFmtId="1" fontId="19" fillId="0" borderId="18" xfId="0" applyNumberFormat="1" applyFont="1" applyFill="1" applyBorder="1" applyAlignment="1">
      <alignment horizontal="left"/>
    </xf>
    <xf numFmtId="1" fontId="19" fillId="0" borderId="19" xfId="1" applyNumberFormat="1" applyFont="1" applyBorder="1" applyAlignment="1">
      <alignment horizontal="left"/>
    </xf>
    <xf numFmtId="1" fontId="19" fillId="0" borderId="18" xfId="1" applyNumberFormat="1" applyFont="1" applyBorder="1" applyAlignment="1">
      <alignment horizontal="left"/>
    </xf>
    <xf numFmtId="1" fontId="19" fillId="0" borderId="67" xfId="0" applyNumberFormat="1" applyFont="1" applyBorder="1" applyAlignment="1">
      <alignment horizontal="left" vertical="center"/>
    </xf>
    <xf numFmtId="1" fontId="19" fillId="0" borderId="49" xfId="0" applyNumberFormat="1" applyFont="1" applyBorder="1" applyAlignment="1">
      <alignment horizontal="left" vertical="center"/>
    </xf>
    <xf numFmtId="1" fontId="18" fillId="0" borderId="67" xfId="0" applyNumberFormat="1" applyFont="1" applyBorder="1" applyAlignment="1">
      <alignment horizontal="left"/>
    </xf>
    <xf numFmtId="1" fontId="18" fillId="0" borderId="49" xfId="0" applyNumberFormat="1" applyFont="1" applyBorder="1" applyAlignment="1">
      <alignment horizontal="left"/>
    </xf>
    <xf numFmtId="2" fontId="18" fillId="0" borderId="67" xfId="0" applyNumberFormat="1" applyFont="1" applyBorder="1" applyAlignment="1">
      <alignment horizontal="left"/>
    </xf>
    <xf numFmtId="2" fontId="18" fillId="0" borderId="49" xfId="0" applyNumberFormat="1" applyFont="1" applyBorder="1" applyAlignment="1">
      <alignment horizontal="left"/>
    </xf>
    <xf numFmtId="1" fontId="18" fillId="0" borderId="72" xfId="0" applyNumberFormat="1" applyFont="1" applyBorder="1" applyAlignment="1">
      <alignment horizontal="left"/>
    </xf>
    <xf numFmtId="0" fontId="18" fillId="0" borderId="67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20" fillId="0" borderId="67" xfId="0" applyFont="1" applyBorder="1" applyAlignment="1">
      <alignment horizontal="left"/>
    </xf>
    <xf numFmtId="0" fontId="20" fillId="0" borderId="49" xfId="0" applyFont="1" applyBorder="1" applyAlignment="1">
      <alignment horizontal="left"/>
    </xf>
    <xf numFmtId="1" fontId="18" fillId="0" borderId="67" xfId="0" applyNumberFormat="1" applyFont="1" applyFill="1" applyBorder="1" applyAlignment="1">
      <alignment horizontal="left"/>
    </xf>
    <xf numFmtId="1" fontId="18" fillId="0" borderId="49" xfId="0" applyNumberFormat="1" applyFont="1" applyFill="1" applyBorder="1" applyAlignment="1">
      <alignment horizontal="left"/>
    </xf>
    <xf numFmtId="1" fontId="18" fillId="0" borderId="67" xfId="1" applyNumberFormat="1" applyFont="1" applyBorder="1" applyAlignment="1">
      <alignment horizontal="left"/>
    </xf>
    <xf numFmtId="1" fontId="18" fillId="0" borderId="49" xfId="1" applyNumberFormat="1" applyFont="1" applyBorder="1" applyAlignment="1">
      <alignment horizontal="left"/>
    </xf>
    <xf numFmtId="1" fontId="19" fillId="0" borderId="48" xfId="0" applyNumberFormat="1" applyFont="1" applyBorder="1" applyAlignment="1">
      <alignment horizontal="left" vertical="center"/>
    </xf>
    <xf numFmtId="1" fontId="19" fillId="0" borderId="17" xfId="0" applyNumberFormat="1" applyFont="1" applyBorder="1" applyAlignment="1">
      <alignment horizontal="left" vertical="center"/>
    </xf>
    <xf numFmtId="0" fontId="22" fillId="0" borderId="16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59" xfId="0" applyFont="1" applyBorder="1" applyAlignment="1">
      <alignment horizontal="left"/>
    </xf>
    <xf numFmtId="1" fontId="26" fillId="0" borderId="42" xfId="0" applyNumberFormat="1" applyFont="1" applyFill="1" applyBorder="1" applyAlignment="1">
      <alignment horizontal="left" vertical="center" wrapText="1"/>
    </xf>
    <xf numFmtId="0" fontId="22" fillId="0" borderId="36" xfId="0" applyFont="1" applyBorder="1" applyAlignment="1">
      <alignment horizontal="left"/>
    </xf>
    <xf numFmtId="0" fontId="22" fillId="0" borderId="56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3" fillId="0" borderId="16" xfId="0" applyFont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24" fillId="0" borderId="42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1" fontId="18" fillId="0" borderId="0" xfId="0" applyNumberFormat="1" applyFont="1" applyAlignment="1">
      <alignment horizontal="justify" vertical="justify" wrapText="1"/>
    </xf>
    <xf numFmtId="0" fontId="18" fillId="0" borderId="0" xfId="0" applyFont="1" applyAlignment="1">
      <alignment horizontal="justify" vertical="justify" wrapText="1"/>
    </xf>
    <xf numFmtId="0" fontId="47" fillId="0" borderId="14" xfId="0" applyFont="1" applyBorder="1" applyAlignment="1">
      <alignment horizontal="left"/>
    </xf>
    <xf numFmtId="1" fontId="47" fillId="0" borderId="4" xfId="0" applyNumberFormat="1" applyFont="1" applyBorder="1" applyAlignment="1">
      <alignment horizontal="left" vertical="center"/>
    </xf>
    <xf numFmtId="1" fontId="47" fillId="0" borderId="16" xfId="0" applyNumberFormat="1" applyFont="1" applyBorder="1" applyAlignment="1">
      <alignment horizontal="left" vertical="center"/>
    </xf>
    <xf numFmtId="1" fontId="47" fillId="0" borderId="15" xfId="0" applyNumberFormat="1" applyFont="1" applyBorder="1" applyAlignment="1">
      <alignment horizontal="left" vertical="center"/>
    </xf>
    <xf numFmtId="1" fontId="47" fillId="0" borderId="1" xfId="0" applyNumberFormat="1" applyFont="1" applyBorder="1" applyAlignment="1">
      <alignment horizontal="left" vertical="center"/>
    </xf>
    <xf numFmtId="1" fontId="47" fillId="0" borderId="3" xfId="0" applyNumberFormat="1" applyFont="1" applyBorder="1" applyAlignment="1">
      <alignment horizontal="left" vertical="center"/>
    </xf>
    <xf numFmtId="2" fontId="47" fillId="0" borderId="4" xfId="0" applyNumberFormat="1" applyFont="1" applyBorder="1" applyAlignment="1">
      <alignment horizontal="left" vertical="center"/>
    </xf>
    <xf numFmtId="2" fontId="47" fillId="0" borderId="16" xfId="0" applyNumberFormat="1" applyFont="1" applyBorder="1" applyAlignment="1">
      <alignment horizontal="left" vertical="center"/>
    </xf>
    <xf numFmtId="1" fontId="47" fillId="0" borderId="1" xfId="0" applyNumberFormat="1" applyFont="1" applyBorder="1" applyAlignment="1">
      <alignment horizontal="left"/>
    </xf>
    <xf numFmtId="1" fontId="47" fillId="0" borderId="14" xfId="0" applyNumberFormat="1" applyFont="1" applyBorder="1" applyAlignment="1">
      <alignment horizontal="left"/>
    </xf>
    <xf numFmtId="0" fontId="48" fillId="0" borderId="0" xfId="0" applyFont="1" applyAlignment="1">
      <alignment horizontal="left"/>
    </xf>
    <xf numFmtId="0" fontId="26" fillId="0" borderId="46" xfId="0" applyFont="1" applyBorder="1" applyAlignment="1">
      <alignment horizontal="left" vertical="center"/>
    </xf>
    <xf numFmtId="3" fontId="40" fillId="0" borderId="60" xfId="0" applyNumberFormat="1" applyFont="1" applyBorder="1" applyAlignment="1">
      <alignment horizontal="left"/>
    </xf>
    <xf numFmtId="1" fontId="47" fillId="0" borderId="5" xfId="0" applyNumberFormat="1" applyFont="1" applyBorder="1" applyAlignment="1">
      <alignment horizontal="left"/>
    </xf>
    <xf numFmtId="1" fontId="47" fillId="0" borderId="30" xfId="0" applyNumberFormat="1" applyFont="1" applyBorder="1" applyAlignment="1">
      <alignment horizontal="left" vertical="center"/>
    </xf>
    <xf numFmtId="1" fontId="47" fillId="0" borderId="16" xfId="0" applyNumberFormat="1" applyFont="1" applyBorder="1" applyAlignment="1">
      <alignment horizontal="left"/>
    </xf>
    <xf numFmtId="1" fontId="47" fillId="0" borderId="15" xfId="0" applyNumberFormat="1" applyFont="1" applyBorder="1" applyAlignment="1">
      <alignment horizontal="left"/>
    </xf>
    <xf numFmtId="1" fontId="47" fillId="0" borderId="1" xfId="1" applyNumberFormat="1" applyFont="1" applyBorder="1" applyAlignment="1">
      <alignment horizontal="left"/>
    </xf>
    <xf numFmtId="1" fontId="47" fillId="0" borderId="0" xfId="0" applyNumberFormat="1" applyFont="1" applyAlignment="1">
      <alignment horizontal="left"/>
    </xf>
    <xf numFmtId="1" fontId="47" fillId="0" borderId="14" xfId="0" applyNumberFormat="1" applyFont="1" applyBorder="1" applyAlignment="1">
      <alignment horizontal="left" vertical="center"/>
    </xf>
    <xf numFmtId="1" fontId="47" fillId="0" borderId="4" xfId="1" applyNumberFormat="1" applyFont="1" applyBorder="1" applyAlignment="1">
      <alignment horizontal="left"/>
    </xf>
    <xf numFmtId="1" fontId="47" fillId="0" borderId="15" xfId="1" applyNumberFormat="1" applyFont="1" applyBorder="1" applyAlignment="1">
      <alignment horizontal="left"/>
    </xf>
    <xf numFmtId="1" fontId="19" fillId="0" borderId="0" xfId="0" applyNumberFormat="1" applyFont="1" applyFill="1" applyBorder="1" applyAlignment="1"/>
    <xf numFmtId="1" fontId="49" fillId="0" borderId="24" xfId="0" applyNumberFormat="1" applyFont="1" applyBorder="1" applyAlignment="1"/>
    <xf numFmtId="1" fontId="28" fillId="0" borderId="0" xfId="0" applyNumberFormat="1" applyFont="1" applyAlignment="1">
      <alignment horizontal="justify" vertical="justify" wrapText="1"/>
    </xf>
    <xf numFmtId="0" fontId="3" fillId="0" borderId="0" xfId="0" applyFont="1" applyAlignment="1">
      <alignment horizontal="justify" vertical="justify" wrapText="1"/>
    </xf>
    <xf numFmtId="0" fontId="28" fillId="0" borderId="0" xfId="0" applyFont="1" applyAlignment="1">
      <alignment horizontal="justify" vertical="justify" wrapText="1"/>
    </xf>
    <xf numFmtId="2" fontId="23" fillId="0" borderId="9" xfId="0" applyNumberFormat="1" applyFont="1" applyFill="1" applyBorder="1" applyAlignment="1">
      <alignment horizontal="left"/>
    </xf>
    <xf numFmtId="2" fontId="23" fillId="0" borderId="4" xfId="0" applyNumberFormat="1" applyFont="1" applyFill="1" applyBorder="1" applyAlignment="1">
      <alignment horizontal="left"/>
    </xf>
    <xf numFmtId="2" fontId="23" fillId="0" borderId="20" xfId="0" applyNumberFormat="1" applyFont="1" applyFill="1" applyBorder="1" applyAlignment="1">
      <alignment horizontal="left"/>
    </xf>
    <xf numFmtId="2" fontId="23" fillId="0" borderId="41" xfId="0" applyNumberFormat="1" applyFont="1" applyFill="1" applyBorder="1" applyAlignment="1">
      <alignment horizontal="left"/>
    </xf>
    <xf numFmtId="165" fontId="25" fillId="0" borderId="3" xfId="0" applyNumberFormat="1" applyFont="1" applyBorder="1" applyAlignment="1">
      <alignment horizontal="left"/>
    </xf>
    <xf numFmtId="0" fontId="25" fillId="0" borderId="1" xfId="0" applyFont="1" applyBorder="1" applyAlignment="1">
      <alignment horizontal="left"/>
    </xf>
    <xf numFmtId="0" fontId="25" fillId="0" borderId="3" xfId="0" applyFont="1" applyBorder="1" applyAlignment="1">
      <alignment horizontal="left"/>
    </xf>
    <xf numFmtId="2" fontId="24" fillId="0" borderId="50" xfId="0" applyNumberFormat="1" applyFont="1" applyBorder="1" applyAlignment="1">
      <alignment horizontal="left"/>
    </xf>
    <xf numFmtId="2" fontId="24" fillId="0" borderId="15" xfId="0" applyNumberFormat="1" applyFont="1" applyBorder="1" applyAlignment="1">
      <alignment horizontal="left"/>
    </xf>
    <xf numFmtId="2" fontId="24" fillId="0" borderId="63" xfId="0" applyNumberFormat="1" applyFont="1" applyBorder="1" applyAlignment="1">
      <alignment horizontal="left"/>
    </xf>
    <xf numFmtId="2" fontId="35" fillId="0" borderId="44" xfId="0" applyNumberFormat="1" applyFont="1" applyBorder="1" applyAlignment="1">
      <alignment horizontal="left"/>
    </xf>
    <xf numFmtId="2" fontId="24" fillId="0" borderId="44" xfId="0" applyNumberFormat="1" applyFont="1" applyBorder="1" applyAlignment="1">
      <alignment horizontal="left"/>
    </xf>
    <xf numFmtId="2" fontId="35" fillId="0" borderId="53" xfId="0" applyNumberFormat="1" applyFont="1" applyBorder="1" applyAlignment="1">
      <alignment horizontal="left"/>
    </xf>
    <xf numFmtId="2" fontId="35" fillId="0" borderId="42" xfId="1" applyNumberFormat="1" applyFont="1" applyBorder="1" applyAlignment="1">
      <alignment horizontal="left"/>
    </xf>
    <xf numFmtId="2" fontId="4" fillId="0" borderId="74" xfId="0" applyNumberFormat="1" applyFont="1" applyBorder="1" applyAlignment="1">
      <alignment horizontal="left"/>
    </xf>
    <xf numFmtId="1" fontId="28" fillId="0" borderId="4" xfId="1" applyNumberFormat="1" applyFont="1" applyBorder="1" applyAlignment="1">
      <alignment horizontal="left"/>
    </xf>
    <xf numFmtId="1" fontId="28" fillId="0" borderId="20" xfId="1" applyNumberFormat="1" applyFont="1" applyBorder="1" applyAlignment="1">
      <alignment horizontal="left"/>
    </xf>
    <xf numFmtId="1" fontId="28" fillId="0" borderId="1" xfId="1" applyNumberFormat="1" applyFont="1" applyBorder="1" applyAlignment="1">
      <alignment horizontal="left"/>
    </xf>
    <xf numFmtId="1" fontId="28" fillId="0" borderId="21" xfId="1" applyNumberFormat="1" applyFont="1" applyBorder="1" applyAlignment="1">
      <alignment horizontal="left"/>
    </xf>
    <xf numFmtId="1" fontId="28" fillId="0" borderId="1" xfId="0" applyNumberFormat="1" applyFont="1" applyFill="1" applyBorder="1" applyAlignment="1">
      <alignment horizontal="left"/>
    </xf>
    <xf numFmtId="1" fontId="28" fillId="0" borderId="21" xfId="0" applyNumberFormat="1" applyFont="1" applyFill="1" applyBorder="1" applyAlignment="1">
      <alignment horizontal="left"/>
    </xf>
    <xf numFmtId="1" fontId="25" fillId="0" borderId="1" xfId="0" applyNumberFormat="1" applyFont="1" applyBorder="1" applyAlignment="1">
      <alignment horizontal="left"/>
    </xf>
    <xf numFmtId="1" fontId="25" fillId="0" borderId="21" xfId="0" applyNumberFormat="1" applyFont="1" applyBorder="1" applyAlignment="1">
      <alignment horizontal="left"/>
    </xf>
    <xf numFmtId="1" fontId="47" fillId="0" borderId="30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" fontId="28" fillId="0" borderId="1" xfId="2" applyNumberFormat="1" applyFont="1" applyBorder="1" applyAlignment="1">
      <alignment horizontal="left"/>
    </xf>
    <xf numFmtId="1" fontId="28" fillId="0" borderId="21" xfId="2" applyNumberFormat="1" applyFont="1" applyBorder="1" applyAlignment="1">
      <alignment horizontal="left"/>
    </xf>
    <xf numFmtId="1" fontId="28" fillId="0" borderId="7" xfId="0" applyNumberFormat="1" applyFont="1" applyBorder="1" applyAlignment="1">
      <alignment horizontal="left"/>
    </xf>
    <xf numFmtId="1" fontId="26" fillId="0" borderId="68" xfId="0" applyNumberFormat="1" applyFont="1" applyBorder="1" applyAlignment="1">
      <alignment horizontal="justify" vertical="justify" wrapText="1"/>
    </xf>
    <xf numFmtId="1" fontId="26" fillId="0" borderId="64" xfId="0" applyNumberFormat="1" applyFont="1" applyBorder="1" applyAlignment="1">
      <alignment vertical="center"/>
    </xf>
    <xf numFmtId="1" fontId="28" fillId="0" borderId="1" xfId="0" applyNumberFormat="1" applyFont="1" applyBorder="1" applyAlignment="1">
      <alignment horizontal="left" vertical="center"/>
    </xf>
    <xf numFmtId="1" fontId="26" fillId="0" borderId="1" xfId="0" applyNumberFormat="1" applyFont="1" applyBorder="1" applyAlignment="1">
      <alignment horizontal="left" vertical="center"/>
    </xf>
    <xf numFmtId="1" fontId="28" fillId="0" borderId="21" xfId="0" applyNumberFormat="1" applyFont="1" applyBorder="1" applyAlignment="1">
      <alignment horizontal="left" vertical="center"/>
    </xf>
    <xf numFmtId="1" fontId="26" fillId="0" borderId="3" xfId="0" applyNumberFormat="1" applyFont="1" applyBorder="1" applyAlignment="1">
      <alignment horizontal="left" vertical="center"/>
    </xf>
    <xf numFmtId="1" fontId="28" fillId="0" borderId="18" xfId="0" applyNumberFormat="1" applyFont="1" applyBorder="1" applyAlignment="1">
      <alignment horizontal="left" vertical="center"/>
    </xf>
    <xf numFmtId="1" fontId="28" fillId="0" borderId="23" xfId="0" applyNumberFormat="1" applyFont="1" applyBorder="1" applyAlignment="1">
      <alignment horizontal="left" vertical="center"/>
    </xf>
    <xf numFmtId="0" fontId="29" fillId="0" borderId="31" xfId="0" applyFont="1" applyBorder="1" applyAlignment="1">
      <alignment horizontal="left"/>
    </xf>
    <xf numFmtId="0" fontId="26" fillId="0" borderId="28" xfId="0" applyFont="1" applyBorder="1" applyAlignment="1">
      <alignment horizontal="left" vertical="center"/>
    </xf>
    <xf numFmtId="2" fontId="28" fillId="0" borderId="1" xfId="0" applyNumberFormat="1" applyFont="1" applyBorder="1" applyAlignment="1">
      <alignment horizontal="left" vertical="center"/>
    </xf>
    <xf numFmtId="2" fontId="26" fillId="0" borderId="1" xfId="0" applyNumberFormat="1" applyFont="1" applyBorder="1" applyAlignment="1">
      <alignment horizontal="left" vertical="center"/>
    </xf>
    <xf numFmtId="2" fontId="28" fillId="0" borderId="21" xfId="0" applyNumberFormat="1" applyFont="1" applyBorder="1" applyAlignment="1">
      <alignment horizontal="left" vertical="center"/>
    </xf>
    <xf numFmtId="2" fontId="40" fillId="0" borderId="37" xfId="0" applyNumberFormat="1" applyFont="1" applyBorder="1" applyAlignment="1">
      <alignment horizontal="left" vertical="center"/>
    </xf>
    <xf numFmtId="0" fontId="28" fillId="0" borderId="54" xfId="0" applyFont="1" applyBorder="1" applyAlignment="1">
      <alignment horizontal="left"/>
    </xf>
    <xf numFmtId="1" fontId="28" fillId="0" borderId="48" xfId="0" applyNumberFormat="1" applyFont="1" applyBorder="1" applyAlignment="1">
      <alignment horizontal="left"/>
    </xf>
    <xf numFmtId="0" fontId="26" fillId="0" borderId="9" xfId="0" applyFont="1" applyBorder="1" applyAlignment="1">
      <alignment horizontal="left" vertical="center"/>
    </xf>
    <xf numFmtId="2" fontId="28" fillId="0" borderId="4" xfId="0" applyNumberFormat="1" applyFont="1" applyBorder="1" applyAlignment="1">
      <alignment horizontal="left"/>
    </xf>
    <xf numFmtId="2" fontId="26" fillId="0" borderId="4" xfId="0" applyNumberFormat="1" applyFont="1" applyBorder="1" applyAlignment="1">
      <alignment horizontal="left"/>
    </xf>
    <xf numFmtId="2" fontId="28" fillId="0" borderId="20" xfId="0" applyNumberFormat="1" applyFont="1" applyBorder="1" applyAlignment="1">
      <alignment horizontal="left"/>
    </xf>
    <xf numFmtId="2" fontId="28" fillId="0" borderId="4" xfId="2" applyNumberFormat="1" applyFont="1" applyBorder="1" applyAlignment="1">
      <alignment horizontal="left"/>
    </xf>
    <xf numFmtId="2" fontId="28" fillId="0" borderId="20" xfId="2" applyNumberFormat="1" applyFont="1" applyBorder="1" applyAlignment="1">
      <alignment horizontal="left"/>
    </xf>
    <xf numFmtId="2" fontId="28" fillId="0" borderId="18" xfId="2" applyNumberFormat="1" applyFont="1" applyBorder="1" applyAlignment="1">
      <alignment horizontal="left"/>
    </xf>
    <xf numFmtId="2" fontId="3" fillId="0" borderId="4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left"/>
    </xf>
    <xf numFmtId="0" fontId="28" fillId="0" borderId="41" xfId="0" applyFont="1" applyBorder="1" applyAlignment="1">
      <alignment horizontal="left"/>
    </xf>
    <xf numFmtId="1" fontId="40" fillId="0" borderId="53" xfId="0" applyNumberFormat="1" applyFont="1" applyBorder="1" applyAlignment="1">
      <alignment horizontal="left" vertical="center"/>
    </xf>
    <xf numFmtId="0" fontId="28" fillId="0" borderId="26" xfId="0" applyFont="1" applyBorder="1" applyAlignment="1">
      <alignment horizontal="left"/>
    </xf>
    <xf numFmtId="1" fontId="28" fillId="0" borderId="4" xfId="0" applyNumberFormat="1" applyFont="1" applyFill="1" applyBorder="1" applyAlignment="1">
      <alignment horizontal="left"/>
    </xf>
    <xf numFmtId="1" fontId="28" fillId="0" borderId="20" xfId="0" applyNumberFormat="1" applyFont="1" applyFill="1" applyBorder="1" applyAlignment="1">
      <alignment horizontal="left"/>
    </xf>
    <xf numFmtId="1" fontId="28" fillId="0" borderId="3" xfId="0" applyNumberFormat="1" applyFont="1" applyFill="1" applyBorder="1" applyAlignment="1">
      <alignment horizontal="left"/>
    </xf>
    <xf numFmtId="1" fontId="28" fillId="0" borderId="18" xfId="0" applyNumberFormat="1" applyFont="1" applyFill="1" applyBorder="1" applyAlignment="1">
      <alignment horizontal="left"/>
    </xf>
    <xf numFmtId="1" fontId="40" fillId="0" borderId="41" xfId="0" applyNumberFormat="1" applyFont="1" applyBorder="1" applyAlignment="1">
      <alignment horizontal="left"/>
    </xf>
    <xf numFmtId="1" fontId="28" fillId="0" borderId="41" xfId="0" applyNumberFormat="1" applyFont="1" applyBorder="1" applyAlignment="1">
      <alignment horizontal="left"/>
    </xf>
    <xf numFmtId="0" fontId="38" fillId="0" borderId="64" xfId="0" applyFont="1" applyBorder="1" applyAlignment="1">
      <alignment horizontal="left"/>
    </xf>
    <xf numFmtId="1" fontId="40" fillId="0" borderId="62" xfId="0" applyNumberFormat="1" applyFont="1" applyBorder="1" applyAlignment="1">
      <alignment horizontal="left" vertical="center"/>
    </xf>
    <xf numFmtId="1" fontId="40" fillId="0" borderId="60" xfId="0" applyNumberFormat="1" applyFont="1" applyBorder="1" applyAlignment="1">
      <alignment horizontal="left"/>
    </xf>
    <xf numFmtId="0" fontId="26" fillId="0" borderId="56" xfId="0" applyFont="1" applyBorder="1" applyAlignment="1">
      <alignment horizontal="left" vertical="center"/>
    </xf>
    <xf numFmtId="2" fontId="28" fillId="0" borderId="16" xfId="2" applyNumberFormat="1" applyFont="1" applyBorder="1" applyAlignment="1">
      <alignment horizontal="left"/>
    </xf>
    <xf numFmtId="1" fontId="28" fillId="0" borderId="16" xfId="2" applyNumberFormat="1" applyFont="1" applyBorder="1" applyAlignment="1">
      <alignment horizontal="left"/>
    </xf>
    <xf numFmtId="1" fontId="28" fillId="0" borderId="16" xfId="0" applyNumberFormat="1" applyFont="1" applyBorder="1" applyAlignment="1">
      <alignment horizontal="left"/>
    </xf>
    <xf numFmtId="1" fontId="40" fillId="0" borderId="61" xfId="0" applyNumberFormat="1" applyFont="1" applyBorder="1" applyAlignment="1">
      <alignment horizontal="left"/>
    </xf>
    <xf numFmtId="1" fontId="28" fillId="0" borderId="14" xfId="0" applyNumberFormat="1" applyFont="1" applyBorder="1" applyAlignment="1">
      <alignment horizontal="left"/>
    </xf>
    <xf numFmtId="2" fontId="28" fillId="0" borderId="4" xfId="1" applyNumberFormat="1" applyFont="1" applyBorder="1" applyAlignment="1">
      <alignment horizontal="left"/>
    </xf>
    <xf numFmtId="1" fontId="40" fillId="0" borderId="60" xfId="1" applyNumberFormat="1" applyFont="1" applyBorder="1" applyAlignment="1">
      <alignment horizontal="left"/>
    </xf>
    <xf numFmtId="2" fontId="28" fillId="0" borderId="3" xfId="0" applyNumberFormat="1" applyFont="1" applyFill="1" applyBorder="1" applyAlignment="1">
      <alignment horizontal="left"/>
    </xf>
    <xf numFmtId="1" fontId="40" fillId="0" borderId="12" xfId="0" applyNumberFormat="1" applyFont="1" applyFill="1" applyBorder="1" applyAlignment="1">
      <alignment horizontal="left"/>
    </xf>
    <xf numFmtId="1" fontId="28" fillId="0" borderId="0" xfId="0" applyNumberFormat="1" applyFont="1" applyFill="1" applyAlignment="1">
      <alignment horizontal="justify" vertical="justify" wrapText="1"/>
    </xf>
    <xf numFmtId="2" fontId="18" fillId="0" borderId="11" xfId="2" applyNumberFormat="1" applyFont="1" applyBorder="1" applyAlignment="1">
      <alignment horizontal="left"/>
    </xf>
    <xf numFmtId="2" fontId="18" fillId="0" borderId="12" xfId="2" applyNumberFormat="1" applyFont="1" applyBorder="1" applyAlignment="1">
      <alignment horizontal="left"/>
    </xf>
    <xf numFmtId="2" fontId="30" fillId="0" borderId="1" xfId="0" applyNumberFormat="1" applyFont="1" applyBorder="1" applyAlignment="1">
      <alignment horizontal="left"/>
    </xf>
    <xf numFmtId="2" fontId="19" fillId="0" borderId="4" xfId="0" applyNumberFormat="1" applyFont="1" applyFill="1" applyBorder="1" applyAlignment="1">
      <alignment horizontal="left"/>
    </xf>
    <xf numFmtId="165" fontId="27" fillId="0" borderId="33" xfId="0" applyNumberFormat="1" applyFont="1" applyBorder="1" applyAlignment="1">
      <alignment horizontal="left"/>
    </xf>
    <xf numFmtId="165" fontId="27" fillId="0" borderId="34" xfId="0" applyNumberFormat="1" applyFont="1" applyBorder="1" applyAlignment="1">
      <alignment horizontal="left"/>
    </xf>
    <xf numFmtId="165" fontId="27" fillId="0" borderId="1" xfId="0" applyNumberFormat="1" applyFont="1" applyBorder="1" applyAlignment="1">
      <alignment horizontal="left"/>
    </xf>
    <xf numFmtId="165" fontId="27" fillId="0" borderId="3" xfId="0" applyNumberFormat="1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27" fillId="0" borderId="3" xfId="0" applyFont="1" applyBorder="1" applyAlignment="1">
      <alignment horizontal="left"/>
    </xf>
    <xf numFmtId="2" fontId="19" fillId="0" borderId="5" xfId="1" applyNumberFormat="1" applyFont="1" applyBorder="1" applyAlignment="1">
      <alignment horizontal="left"/>
    </xf>
    <xf numFmtId="2" fontId="19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50" fillId="0" borderId="0" xfId="0" applyFont="1"/>
    <xf numFmtId="0" fontId="37" fillId="0" borderId="51" xfId="0" applyFont="1" applyBorder="1" applyAlignment="1">
      <alignment horizontal="left"/>
    </xf>
    <xf numFmtId="0" fontId="29" fillId="0" borderId="59" xfId="0" applyFont="1" applyBorder="1" applyAlignment="1">
      <alignment horizontal="left"/>
    </xf>
    <xf numFmtId="0" fontId="22" fillId="0" borderId="27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50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24" fillId="0" borderId="14" xfId="0" applyFont="1" applyBorder="1" applyAlignment="1">
      <alignment horizontal="left"/>
    </xf>
    <xf numFmtId="0" fontId="24" fillId="0" borderId="16" xfId="0" applyFont="1" applyBorder="1" applyAlignment="1">
      <alignment horizontal="left"/>
    </xf>
    <xf numFmtId="0" fontId="45" fillId="0" borderId="14" xfId="0" applyFont="1" applyBorder="1" applyAlignment="1">
      <alignment horizontal="left"/>
    </xf>
    <xf numFmtId="0" fontId="45" fillId="0" borderId="16" xfId="0" applyFont="1" applyBorder="1" applyAlignment="1">
      <alignment horizontal="left"/>
    </xf>
    <xf numFmtId="0" fontId="45" fillId="0" borderId="15" xfId="0" applyFont="1" applyBorder="1" applyAlignment="1">
      <alignment horizontal="left"/>
    </xf>
    <xf numFmtId="0" fontId="45" fillId="0" borderId="59" xfId="0" applyFont="1" applyBorder="1" applyAlignment="1">
      <alignment horizontal="left"/>
    </xf>
    <xf numFmtId="0" fontId="45" fillId="0" borderId="61" xfId="0" applyFont="1" applyBorder="1" applyAlignment="1">
      <alignment horizontal="left"/>
    </xf>
    <xf numFmtId="0" fontId="22" fillId="0" borderId="75" xfId="0" applyFont="1" applyBorder="1" applyAlignment="1">
      <alignment horizontal="left"/>
    </xf>
    <xf numFmtId="0" fontId="0" fillId="0" borderId="0" xfId="0" applyAlignment="1">
      <alignment horizontal="left"/>
    </xf>
    <xf numFmtId="0" fontId="45" fillId="0" borderId="30" xfId="0" applyFont="1" applyBorder="1" applyAlignment="1">
      <alignment horizontal="left"/>
    </xf>
    <xf numFmtId="0" fontId="45" fillId="0" borderId="0" xfId="0" applyFont="1" applyAlignment="1">
      <alignment horizontal="left"/>
    </xf>
    <xf numFmtId="1" fontId="19" fillId="0" borderId="60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19" fillId="0" borderId="2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/>
    </xf>
    <xf numFmtId="0" fontId="45" fillId="0" borderId="46" xfId="0" applyFont="1" applyBorder="1" applyAlignment="1">
      <alignment horizontal="center"/>
    </xf>
    <xf numFmtId="0" fontId="45" fillId="0" borderId="34" xfId="0" applyFont="1" applyBorder="1" applyAlignment="1">
      <alignment horizontal="center"/>
    </xf>
    <xf numFmtId="1" fontId="24" fillId="0" borderId="14" xfId="0" applyNumberFormat="1" applyFont="1" applyBorder="1" applyAlignment="1">
      <alignment horizontal="left" vertical="center"/>
    </xf>
    <xf numFmtId="1" fontId="44" fillId="0" borderId="58" xfId="0" applyNumberFormat="1" applyFont="1" applyBorder="1" applyAlignment="1">
      <alignment horizontal="left"/>
    </xf>
    <xf numFmtId="1" fontId="23" fillId="0" borderId="21" xfId="0" applyNumberFormat="1" applyFont="1" applyBorder="1" applyAlignment="1">
      <alignment horizontal="left"/>
    </xf>
    <xf numFmtId="1" fontId="44" fillId="0" borderId="73" xfId="0" applyNumberFormat="1" applyFont="1" applyBorder="1" applyAlignment="1">
      <alignment horizontal="left"/>
    </xf>
    <xf numFmtId="1" fontId="22" fillId="0" borderId="7" xfId="0" applyNumberFormat="1" applyFont="1" applyBorder="1" applyAlignment="1">
      <alignment horizontal="left"/>
    </xf>
    <xf numFmtId="1" fontId="44" fillId="0" borderId="54" xfId="0" applyNumberFormat="1" applyFont="1" applyBorder="1" applyAlignment="1">
      <alignment horizontal="left"/>
    </xf>
    <xf numFmtId="1" fontId="23" fillId="0" borderId="5" xfId="0" applyNumberFormat="1" applyFont="1" applyFill="1" applyBorder="1" applyAlignment="1">
      <alignment horizontal="left"/>
    </xf>
    <xf numFmtId="1" fontId="23" fillId="0" borderId="22" xfId="0" applyNumberFormat="1" applyFont="1" applyFill="1" applyBorder="1" applyAlignment="1">
      <alignment horizontal="left"/>
    </xf>
    <xf numFmtId="1" fontId="23" fillId="0" borderId="21" xfId="1" applyNumberFormat="1" applyFont="1" applyBorder="1" applyAlignment="1">
      <alignment horizontal="left"/>
    </xf>
    <xf numFmtId="1" fontId="51" fillId="0" borderId="29" xfId="0" applyNumberFormat="1" applyFont="1" applyBorder="1" applyAlignment="1">
      <alignment horizontal="left"/>
    </xf>
    <xf numFmtId="1" fontId="51" fillId="0" borderId="5" xfId="0" applyNumberFormat="1" applyFont="1" applyBorder="1" applyAlignment="1">
      <alignment horizontal="left"/>
    </xf>
    <xf numFmtId="1" fontId="51" fillId="0" borderId="22" xfId="0" applyNumberFormat="1" applyFont="1" applyBorder="1" applyAlignment="1">
      <alignment horizontal="left"/>
    </xf>
    <xf numFmtId="1" fontId="23" fillId="0" borderId="21" xfId="0" applyNumberFormat="1" applyFont="1" applyFill="1" applyBorder="1" applyAlignment="1">
      <alignment horizontal="left"/>
    </xf>
    <xf numFmtId="1" fontId="51" fillId="0" borderId="28" xfId="0" applyNumberFormat="1" applyFont="1" applyBorder="1" applyAlignment="1">
      <alignment horizontal="left"/>
    </xf>
    <xf numFmtId="1" fontId="51" fillId="0" borderId="1" xfId="0" applyNumberFormat="1" applyFont="1" applyBorder="1" applyAlignment="1">
      <alignment horizontal="left"/>
    </xf>
    <xf numFmtId="1" fontId="23" fillId="0" borderId="7" xfId="0" applyNumberFormat="1" applyFont="1" applyBorder="1" applyAlignment="1">
      <alignment horizontal="left"/>
    </xf>
    <xf numFmtId="1" fontId="51" fillId="0" borderId="21" xfId="0" applyNumberFormat="1" applyFont="1" applyBorder="1" applyAlignment="1">
      <alignment horizontal="left"/>
    </xf>
    <xf numFmtId="1" fontId="23" fillId="0" borderId="30" xfId="0" applyNumberFormat="1" applyFont="1" applyBorder="1" applyAlignment="1">
      <alignment horizontal="left"/>
    </xf>
    <xf numFmtId="1" fontId="23" fillId="0" borderId="31" xfId="0" applyNumberFormat="1" applyFont="1" applyBorder="1" applyAlignment="1">
      <alignment horizontal="left"/>
    </xf>
    <xf numFmtId="1" fontId="52" fillId="0" borderId="53" xfId="0" applyNumberFormat="1" applyFont="1" applyBorder="1" applyAlignment="1">
      <alignment horizontal="left"/>
    </xf>
    <xf numFmtId="1" fontId="23" fillId="0" borderId="20" xfId="0" applyNumberFormat="1" applyFont="1" applyBorder="1" applyAlignment="1">
      <alignment horizontal="left"/>
    </xf>
    <xf numFmtId="1" fontId="46" fillId="0" borderId="52" xfId="0" applyNumberFormat="1" applyFont="1" applyFill="1" applyBorder="1" applyAlignment="1">
      <alignment horizontal="left"/>
    </xf>
    <xf numFmtId="1" fontId="23" fillId="0" borderId="21" xfId="0" applyNumberFormat="1" applyFont="1" applyBorder="1" applyAlignment="1">
      <alignment horizontal="left" vertical="center"/>
    </xf>
    <xf numFmtId="0" fontId="45" fillId="0" borderId="56" xfId="0" applyFont="1" applyBorder="1" applyAlignment="1">
      <alignment horizontal="left"/>
    </xf>
    <xf numFmtId="0" fontId="45" fillId="0" borderId="57" xfId="0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1" fontId="19" fillId="0" borderId="3" xfId="2" applyNumberFormat="1" applyFont="1" applyBorder="1" applyAlignment="1">
      <alignment horizontal="left"/>
    </xf>
    <xf numFmtId="1" fontId="19" fillId="0" borderId="1" xfId="1" applyNumberFormat="1" applyFont="1" applyBorder="1" applyAlignment="1">
      <alignment horizontal="left"/>
    </xf>
    <xf numFmtId="1" fontId="19" fillId="0" borderId="14" xfId="1" applyNumberFormat="1" applyFont="1" applyBorder="1" applyAlignment="1">
      <alignment horizontal="left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right"/>
    </xf>
    <xf numFmtId="2" fontId="24" fillId="0" borderId="1" xfId="0" applyNumberFormat="1" applyFont="1" applyBorder="1" applyAlignment="1">
      <alignment horizontal="left" vertical="center"/>
    </xf>
    <xf numFmtId="2" fontId="24" fillId="0" borderId="1" xfId="0" applyNumberFormat="1" applyFont="1" applyBorder="1" applyAlignment="1">
      <alignment horizontal="right"/>
    </xf>
    <xf numFmtId="2" fontId="23" fillId="0" borderId="1" xfId="0" applyNumberFormat="1" applyFont="1" applyFill="1" applyBorder="1" applyAlignment="1">
      <alignment horizontal="right"/>
    </xf>
    <xf numFmtId="2" fontId="23" fillId="0" borderId="21" xfId="0" applyNumberFormat="1" applyFont="1" applyFill="1" applyBorder="1" applyAlignment="1">
      <alignment horizontal="right"/>
    </xf>
    <xf numFmtId="1" fontId="26" fillId="0" borderId="37" xfId="0" applyNumberFormat="1" applyFont="1" applyFill="1" applyBorder="1" applyAlignment="1">
      <alignment horizontal="center" vertical="center" wrapText="1"/>
    </xf>
    <xf numFmtId="1" fontId="26" fillId="0" borderId="40" xfId="0" applyNumberFormat="1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40" fillId="0" borderId="54" xfId="0" applyFont="1" applyBorder="1" applyAlignment="1">
      <alignment horizontal="left"/>
    </xf>
    <xf numFmtId="0" fontId="22" fillId="0" borderId="1" xfId="0" applyFont="1" applyBorder="1"/>
    <xf numFmtId="0" fontId="29" fillId="0" borderId="1" xfId="0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0" fontId="45" fillId="0" borderId="1" xfId="0" applyFont="1" applyBorder="1"/>
    <xf numFmtId="0" fontId="22" fillId="0" borderId="21" xfId="0" applyFont="1" applyBorder="1"/>
    <xf numFmtId="1" fontId="26" fillId="0" borderId="37" xfId="0" applyNumberFormat="1" applyFont="1" applyFill="1" applyBorder="1" applyAlignment="1">
      <alignment horizontal="center" vertical="justify" wrapText="1"/>
    </xf>
    <xf numFmtId="0" fontId="22" fillId="0" borderId="28" xfId="0" applyFont="1" applyBorder="1"/>
    <xf numFmtId="1" fontId="26" fillId="0" borderId="39" xfId="0" applyNumberFormat="1" applyFont="1" applyFill="1" applyBorder="1" applyAlignment="1">
      <alignment horizontal="center" vertical="justify" wrapText="1"/>
    </xf>
    <xf numFmtId="0" fontId="40" fillId="0" borderId="73" xfId="0" applyFont="1" applyBorder="1" applyAlignment="1">
      <alignment horizontal="left"/>
    </xf>
    <xf numFmtId="0" fontId="24" fillId="0" borderId="29" xfId="0" applyFont="1" applyBorder="1" applyAlignment="1">
      <alignment vertical="center"/>
    </xf>
    <xf numFmtId="2" fontId="23" fillId="0" borderId="5" xfId="0" applyNumberFormat="1" applyFont="1" applyBorder="1" applyAlignment="1">
      <alignment vertical="center"/>
    </xf>
    <xf numFmtId="2" fontId="24" fillId="0" borderId="5" xfId="0" applyNumberFormat="1" applyFont="1" applyBorder="1" applyAlignment="1">
      <alignment horizontal="left" vertical="center"/>
    </xf>
    <xf numFmtId="2" fontId="24" fillId="0" borderId="5" xfId="0" applyNumberFormat="1" applyFont="1" applyBorder="1" applyAlignment="1">
      <alignment vertical="center"/>
    </xf>
    <xf numFmtId="2" fontId="23" fillId="0" borderId="22" xfId="0" applyNumberFormat="1" applyFont="1" applyBorder="1" applyAlignment="1">
      <alignment vertical="center"/>
    </xf>
    <xf numFmtId="2" fontId="23" fillId="0" borderId="1" xfId="0" applyNumberFormat="1" applyFont="1" applyBorder="1" applyAlignment="1">
      <alignment vertical="center"/>
    </xf>
    <xf numFmtId="2" fontId="24" fillId="0" borderId="1" xfId="0" applyNumberFormat="1" applyFont="1" applyBorder="1" applyAlignment="1">
      <alignment vertical="center"/>
    </xf>
    <xf numFmtId="2" fontId="23" fillId="0" borderId="5" xfId="0" applyNumberFormat="1" applyFont="1" applyBorder="1" applyAlignment="1">
      <alignment horizontal="right"/>
    </xf>
    <xf numFmtId="2" fontId="24" fillId="0" borderId="5" xfId="0" applyNumberFormat="1" applyFont="1" applyBorder="1" applyAlignment="1">
      <alignment horizontal="right"/>
    </xf>
    <xf numFmtId="2" fontId="23" fillId="0" borderId="21" xfId="0" applyNumberFormat="1" applyFont="1" applyBorder="1" applyAlignment="1">
      <alignment vertical="center"/>
    </xf>
    <xf numFmtId="2" fontId="23" fillId="0" borderId="22" xfId="0" applyNumberFormat="1" applyFont="1" applyBorder="1" applyAlignment="1">
      <alignment horizontal="right"/>
    </xf>
    <xf numFmtId="2" fontId="23" fillId="0" borderId="21" xfId="0" applyNumberFormat="1" applyFont="1" applyBorder="1" applyAlignment="1">
      <alignment horizontal="right"/>
    </xf>
    <xf numFmtId="1" fontId="26" fillId="0" borderId="39" xfId="0" applyNumberFormat="1" applyFont="1" applyFill="1" applyBorder="1" applyAlignment="1">
      <alignment horizontal="center" vertical="center" wrapText="1"/>
    </xf>
    <xf numFmtId="0" fontId="24" fillId="0" borderId="28" xfId="0" applyFont="1" applyBorder="1" applyAlignment="1">
      <alignment vertical="center"/>
    </xf>
    <xf numFmtId="0" fontId="24" fillId="0" borderId="29" xfId="0" applyFont="1" applyBorder="1" applyAlignment="1">
      <alignment horizontal="center" vertical="center"/>
    </xf>
    <xf numFmtId="2" fontId="18" fillId="0" borderId="5" xfId="0" applyNumberFormat="1" applyFont="1" applyBorder="1" applyAlignment="1">
      <alignment horizontal="right"/>
    </xf>
    <xf numFmtId="2" fontId="19" fillId="0" borderId="5" xfId="0" applyNumberFormat="1" applyFont="1" applyBorder="1" applyAlignment="1">
      <alignment horizontal="right"/>
    </xf>
    <xf numFmtId="2" fontId="18" fillId="0" borderId="1" xfId="0" applyNumberFormat="1" applyFont="1" applyBorder="1" applyAlignment="1">
      <alignment horizontal="right"/>
    </xf>
    <xf numFmtId="2" fontId="19" fillId="0" borderId="1" xfId="0" applyNumberFormat="1" applyFont="1" applyBorder="1" applyAlignment="1">
      <alignment horizontal="right"/>
    </xf>
    <xf numFmtId="0" fontId="18" fillId="0" borderId="5" xfId="0" applyFont="1" applyBorder="1" applyAlignment="1">
      <alignment horizontal="left"/>
    </xf>
    <xf numFmtId="2" fontId="28" fillId="0" borderId="5" xfId="0" applyNumberFormat="1" applyFont="1" applyBorder="1" applyAlignment="1">
      <alignment horizontal="left"/>
    </xf>
    <xf numFmtId="2" fontId="26" fillId="0" borderId="5" xfId="0" applyNumberFormat="1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26" fillId="0" borderId="1" xfId="0" applyNumberFormat="1" applyFont="1" applyBorder="1" applyAlignment="1">
      <alignment horizontal="left"/>
    </xf>
    <xf numFmtId="2" fontId="23" fillId="0" borderId="5" xfId="2" applyNumberFormat="1" applyFont="1" applyBorder="1" applyAlignment="1">
      <alignment horizontal="right"/>
    </xf>
    <xf numFmtId="2" fontId="24" fillId="0" borderId="5" xfId="2" applyNumberFormat="1" applyFont="1" applyBorder="1" applyAlignment="1">
      <alignment horizontal="right"/>
    </xf>
    <xf numFmtId="2" fontId="23" fillId="0" borderId="5" xfId="1" applyNumberFormat="1" applyFont="1" applyBorder="1" applyAlignment="1">
      <alignment horizontal="right"/>
    </xf>
    <xf numFmtId="2" fontId="24" fillId="0" borderId="5" xfId="1" applyNumberFormat="1" applyFont="1" applyBorder="1" applyAlignment="1">
      <alignment horizontal="right"/>
    </xf>
    <xf numFmtId="2" fontId="23" fillId="0" borderId="1" xfId="2" applyNumberFormat="1" applyFont="1" applyBorder="1" applyAlignment="1">
      <alignment horizontal="right"/>
    </xf>
    <xf numFmtId="2" fontId="24" fillId="0" borderId="1" xfId="2" applyNumberFormat="1" applyFont="1" applyBorder="1" applyAlignment="1">
      <alignment horizontal="right"/>
    </xf>
    <xf numFmtId="2" fontId="23" fillId="0" borderId="1" xfId="1" applyNumberFormat="1" applyFont="1" applyBorder="1" applyAlignment="1">
      <alignment horizontal="right"/>
    </xf>
    <xf numFmtId="2" fontId="24" fillId="0" borderId="1" xfId="1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23" fillId="0" borderId="5" xfId="0" applyNumberFormat="1" applyFont="1" applyBorder="1" applyAlignment="1">
      <alignment horizontal="right" wrapText="1"/>
    </xf>
    <xf numFmtId="2" fontId="24" fillId="0" borderId="5" xfId="0" applyNumberFormat="1" applyFont="1" applyBorder="1" applyAlignment="1">
      <alignment horizontal="right" wrapText="1"/>
    </xf>
    <xf numFmtId="2" fontId="23" fillId="0" borderId="1" xfId="0" applyNumberFormat="1" applyFont="1" applyBorder="1" applyAlignment="1">
      <alignment horizontal="right" wrapText="1"/>
    </xf>
    <xf numFmtId="2" fontId="24" fillId="0" borderId="1" xfId="0" applyNumberFormat="1" applyFont="1" applyBorder="1" applyAlignment="1">
      <alignment horizontal="right" wrapText="1"/>
    </xf>
    <xf numFmtId="3" fontId="25" fillId="0" borderId="5" xfId="0" applyNumberFormat="1" applyFont="1" applyBorder="1" applyAlignment="1">
      <alignment horizontal="right"/>
    </xf>
    <xf numFmtId="0" fontId="22" fillId="0" borderId="5" xfId="0" applyFont="1" applyBorder="1"/>
    <xf numFmtId="3" fontId="29" fillId="0" borderId="5" xfId="0" applyNumberFormat="1" applyFont="1" applyBorder="1" applyAlignment="1">
      <alignment horizontal="right"/>
    </xf>
    <xf numFmtId="165" fontId="25" fillId="0" borderId="5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horizontal="right"/>
    </xf>
    <xf numFmtId="3" fontId="29" fillId="0" borderId="1" xfId="0" applyNumberFormat="1" applyFont="1" applyBorder="1" applyAlignment="1">
      <alignment horizontal="right"/>
    </xf>
    <xf numFmtId="165" fontId="25" fillId="0" borderId="1" xfId="0" applyNumberFormat="1" applyFont="1" applyBorder="1" applyAlignment="1">
      <alignment horizontal="right"/>
    </xf>
    <xf numFmtId="2" fontId="23" fillId="0" borderId="5" xfId="0" applyNumberFormat="1" applyFont="1" applyFill="1" applyBorder="1" applyAlignment="1">
      <alignment horizontal="right"/>
    </xf>
    <xf numFmtId="2" fontId="24" fillId="0" borderId="5" xfId="0" applyNumberFormat="1" applyFont="1" applyFill="1" applyBorder="1" applyAlignment="1">
      <alignment horizontal="right"/>
    </xf>
    <xf numFmtId="2" fontId="24" fillId="0" borderId="1" xfId="0" applyNumberFormat="1" applyFont="1" applyFill="1" applyBorder="1" applyAlignment="1">
      <alignment horizontal="right"/>
    </xf>
    <xf numFmtId="2" fontId="24" fillId="0" borderId="5" xfId="1" applyNumberFormat="1" applyFont="1" applyBorder="1" applyAlignment="1">
      <alignment horizontal="left"/>
    </xf>
    <xf numFmtId="2" fontId="18" fillId="0" borderId="22" xfId="0" applyNumberFormat="1" applyFont="1" applyBorder="1" applyAlignment="1">
      <alignment horizontal="right"/>
    </xf>
    <xf numFmtId="2" fontId="18" fillId="0" borderId="21" xfId="0" applyNumberFormat="1" applyFont="1" applyBorder="1" applyAlignment="1">
      <alignment horizontal="right"/>
    </xf>
    <xf numFmtId="2" fontId="28" fillId="0" borderId="22" xfId="0" applyNumberFormat="1" applyFont="1" applyBorder="1" applyAlignment="1">
      <alignment horizontal="left"/>
    </xf>
    <xf numFmtId="2" fontId="28" fillId="0" borderId="21" xfId="0" applyNumberFormat="1" applyFont="1" applyBorder="1" applyAlignment="1">
      <alignment horizontal="left"/>
    </xf>
    <xf numFmtId="2" fontId="23" fillId="0" borderId="22" xfId="1" applyNumberFormat="1" applyFont="1" applyBorder="1" applyAlignment="1">
      <alignment horizontal="right"/>
    </xf>
    <xf numFmtId="2" fontId="23" fillId="0" borderId="21" xfId="1" applyNumberFormat="1" applyFont="1" applyBorder="1" applyAlignment="1">
      <alignment horizontal="right"/>
    </xf>
    <xf numFmtId="2" fontId="23" fillId="0" borderId="22" xfId="0" applyNumberFormat="1" applyFont="1" applyBorder="1" applyAlignment="1">
      <alignment horizontal="right" wrapText="1"/>
    </xf>
    <xf numFmtId="2" fontId="23" fillId="0" borderId="21" xfId="0" applyNumberFormat="1" applyFont="1" applyBorder="1" applyAlignment="1">
      <alignment horizontal="right" wrapText="1"/>
    </xf>
    <xf numFmtId="3" fontId="25" fillId="0" borderId="22" xfId="0" applyNumberFormat="1" applyFont="1" applyBorder="1" applyAlignment="1">
      <alignment horizontal="right"/>
    </xf>
    <xf numFmtId="3" fontId="25" fillId="0" borderId="21" xfId="0" applyNumberFormat="1" applyFont="1" applyBorder="1" applyAlignment="1">
      <alignment horizontal="right"/>
    </xf>
    <xf numFmtId="2" fontId="23" fillId="0" borderId="22" xfId="0" applyNumberFormat="1" applyFont="1" applyFill="1" applyBorder="1" applyAlignment="1">
      <alignment horizontal="right"/>
    </xf>
    <xf numFmtId="2" fontId="24" fillId="0" borderId="21" xfId="0" applyNumberFormat="1" applyFont="1" applyBorder="1" applyAlignment="1">
      <alignment horizontal="right"/>
    </xf>
    <xf numFmtId="0" fontId="24" fillId="0" borderId="21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8" fillId="0" borderId="29" xfId="0" applyFont="1" applyBorder="1" applyAlignment="1">
      <alignment horizontal="left"/>
    </xf>
    <xf numFmtId="0" fontId="28" fillId="0" borderId="5" xfId="0" applyFont="1" applyBorder="1" applyAlignment="1">
      <alignment horizontal="left"/>
    </xf>
    <xf numFmtId="0" fontId="28" fillId="0" borderId="22" xfId="0" applyFont="1" applyBorder="1" applyAlignment="1">
      <alignment horizontal="left"/>
    </xf>
    <xf numFmtId="0" fontId="28" fillId="0" borderId="1" xfId="0" applyFont="1" applyBorder="1" applyAlignment="1">
      <alignment horizontal="left"/>
    </xf>
    <xf numFmtId="0" fontId="28" fillId="0" borderId="3" xfId="0" applyFont="1" applyBorder="1"/>
    <xf numFmtId="0" fontId="28" fillId="0" borderId="28" xfId="0" applyFont="1" applyBorder="1" applyAlignment="1">
      <alignment horizontal="left"/>
    </xf>
    <xf numFmtId="0" fontId="28" fillId="0" borderId="8" xfId="0" applyFont="1" applyBorder="1"/>
    <xf numFmtId="0" fontId="37" fillId="0" borderId="68" xfId="0" applyFont="1" applyBorder="1" applyAlignment="1">
      <alignment horizontal="left"/>
    </xf>
    <xf numFmtId="0" fontId="53" fillId="0" borderId="30" xfId="0" applyFont="1" applyBorder="1" applyAlignment="1">
      <alignment horizontal="left"/>
    </xf>
    <xf numFmtId="0" fontId="47" fillId="0" borderId="30" xfId="0" applyFont="1" applyBorder="1" applyAlignment="1">
      <alignment horizontal="left"/>
    </xf>
    <xf numFmtId="0" fontId="53" fillId="0" borderId="1" xfId="0" applyFont="1" applyBorder="1" applyAlignment="1">
      <alignment horizontal="left"/>
    </xf>
    <xf numFmtId="0" fontId="47" fillId="0" borderId="1" xfId="0" applyFont="1" applyBorder="1" applyAlignment="1">
      <alignment horizontal="left"/>
    </xf>
    <xf numFmtId="3" fontId="25" fillId="0" borderId="5" xfId="0" applyNumberFormat="1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8" fillId="0" borderId="21" xfId="0" applyFont="1" applyBorder="1" applyAlignment="1">
      <alignment horizontal="left"/>
    </xf>
    <xf numFmtId="3" fontId="25" fillId="0" borderId="22" xfId="0" applyNumberFormat="1" applyFont="1" applyBorder="1" applyAlignment="1">
      <alignment horizontal="left"/>
    </xf>
    <xf numFmtId="3" fontId="25" fillId="0" borderId="21" xfId="0" applyNumberFormat="1" applyFont="1" applyBorder="1" applyAlignment="1">
      <alignment horizontal="left"/>
    </xf>
    <xf numFmtId="0" fontId="28" fillId="0" borderId="18" xfId="0" applyFont="1" applyBorder="1"/>
    <xf numFmtId="0" fontId="29" fillId="0" borderId="28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3" fontId="28" fillId="0" borderId="3" xfId="0" applyNumberFormat="1" applyFont="1" applyBorder="1" applyAlignment="1">
      <alignment horizontal="left"/>
    </xf>
    <xf numFmtId="3" fontId="28" fillId="0" borderId="4" xfId="0" applyNumberFormat="1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3" fontId="29" fillId="0" borderId="4" xfId="0" applyNumberFormat="1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3" fontId="29" fillId="0" borderId="3" xfId="0" applyNumberFormat="1" applyFont="1" applyBorder="1" applyAlignment="1">
      <alignment horizontal="left"/>
    </xf>
    <xf numFmtId="0" fontId="54" fillId="0" borderId="4" xfId="0" applyFont="1" applyBorder="1" applyAlignment="1">
      <alignment horizontal="left"/>
    </xf>
    <xf numFmtId="0" fontId="54" fillId="0" borderId="3" xfId="0" applyFont="1" applyBorder="1" applyAlignment="1">
      <alignment horizontal="left"/>
    </xf>
    <xf numFmtId="0" fontId="25" fillId="0" borderId="4" xfId="0" applyFont="1" applyBorder="1" applyAlignment="1">
      <alignment horizontal="left"/>
    </xf>
    <xf numFmtId="165" fontId="25" fillId="0" borderId="4" xfId="0" applyNumberFormat="1" applyFont="1" applyBorder="1" applyAlignment="1">
      <alignment horizontal="left"/>
    </xf>
    <xf numFmtId="0" fontId="55" fillId="0" borderId="4" xfId="0" applyFont="1" applyBorder="1" applyAlignment="1">
      <alignment horizontal="left"/>
    </xf>
    <xf numFmtId="0" fontId="55" fillId="0" borderId="3" xfId="0" applyFont="1" applyBorder="1" applyAlignment="1">
      <alignment horizontal="left"/>
    </xf>
    <xf numFmtId="0" fontId="26" fillId="0" borderId="31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3" fontId="25" fillId="0" borderId="18" xfId="0" applyNumberFormat="1" applyFont="1" applyBorder="1" applyAlignment="1">
      <alignment horizontal="left"/>
    </xf>
    <xf numFmtId="3" fontId="25" fillId="0" borderId="20" xfId="0" applyNumberFormat="1" applyFont="1" applyBorder="1" applyAlignment="1">
      <alignment horizontal="left"/>
    </xf>
    <xf numFmtId="3" fontId="28" fillId="0" borderId="18" xfId="0" applyNumberFormat="1" applyFont="1" applyBorder="1" applyAlignment="1">
      <alignment horizontal="left"/>
    </xf>
    <xf numFmtId="3" fontId="28" fillId="0" borderId="20" xfId="0" applyNumberFormat="1" applyFont="1" applyBorder="1" applyAlignment="1">
      <alignment horizontal="left"/>
    </xf>
    <xf numFmtId="0" fontId="29" fillId="0" borderId="68" xfId="0" applyFont="1" applyBorder="1" applyAlignment="1">
      <alignment horizontal="left"/>
    </xf>
    <xf numFmtId="3" fontId="25" fillId="0" borderId="8" xfId="0" applyNumberFormat="1" applyFont="1" applyBorder="1" applyAlignment="1">
      <alignment horizontal="left"/>
    </xf>
    <xf numFmtId="3" fontId="25" fillId="0" borderId="9" xfId="0" applyNumberFormat="1" applyFont="1" applyBorder="1" applyAlignment="1">
      <alignment horizontal="left"/>
    </xf>
    <xf numFmtId="3" fontId="28" fillId="0" borderId="8" xfId="0" applyNumberFormat="1" applyFont="1" applyBorder="1" applyAlignment="1">
      <alignment horizontal="left"/>
    </xf>
    <xf numFmtId="3" fontId="28" fillId="0" borderId="9" xfId="0" applyNumberFormat="1" applyFont="1" applyBorder="1" applyAlignment="1">
      <alignment horizontal="left"/>
    </xf>
    <xf numFmtId="0" fontId="38" fillId="0" borderId="55" xfId="0" applyFont="1" applyBorder="1" applyAlignment="1">
      <alignment horizontal="left" vertical="justify" wrapText="1"/>
    </xf>
    <xf numFmtId="0" fontId="24" fillId="0" borderId="15" xfId="0" applyFont="1" applyBorder="1" applyAlignment="1">
      <alignment horizontal="left"/>
    </xf>
    <xf numFmtId="0" fontId="45" fillId="0" borderId="75" xfId="0" applyFont="1" applyBorder="1" applyAlignment="1">
      <alignment horizontal="left"/>
    </xf>
    <xf numFmtId="0" fontId="32" fillId="0" borderId="54" xfId="0" applyFont="1" applyBorder="1" applyAlignment="1">
      <alignment horizontal="left"/>
    </xf>
    <xf numFmtId="0" fontId="32" fillId="0" borderId="66" xfId="0" applyFont="1" applyBorder="1" applyAlignment="1">
      <alignment horizontal="left"/>
    </xf>
    <xf numFmtId="0" fontId="32" fillId="0" borderId="65" xfId="0" applyFont="1" applyBorder="1" applyAlignment="1">
      <alignment horizontal="left"/>
    </xf>
    <xf numFmtId="0" fontId="32" fillId="0" borderId="73" xfId="0" applyFont="1" applyBorder="1" applyAlignment="1">
      <alignment horizontal="left"/>
    </xf>
    <xf numFmtId="0" fontId="33" fillId="0" borderId="58" xfId="0" applyFont="1" applyBorder="1" applyAlignment="1">
      <alignment horizontal="left"/>
    </xf>
    <xf numFmtId="1" fontId="18" fillId="0" borderId="28" xfId="0" applyNumberFormat="1" applyFont="1" applyBorder="1" applyAlignment="1">
      <alignment horizontal="left" vertical="center"/>
    </xf>
    <xf numFmtId="1" fontId="18" fillId="0" borderId="1" xfId="0" applyNumberFormat="1" applyFont="1" applyBorder="1" applyAlignment="1">
      <alignment horizontal="left" vertical="center"/>
    </xf>
    <xf numFmtId="1" fontId="18" fillId="0" borderId="21" xfId="0" applyNumberFormat="1" applyFont="1" applyBorder="1" applyAlignment="1">
      <alignment horizontal="left" vertical="center"/>
    </xf>
    <xf numFmtId="1" fontId="1" fillId="0" borderId="74" xfId="0" applyNumberFormat="1" applyFont="1" applyBorder="1" applyAlignment="1">
      <alignment horizontal="left" vertical="center"/>
    </xf>
    <xf numFmtId="2" fontId="19" fillId="0" borderId="2" xfId="0" applyNumberFormat="1" applyFont="1" applyFill="1" applyBorder="1" applyAlignment="1">
      <alignment horizontal="left" vertical="top" shrinkToFit="1"/>
    </xf>
    <xf numFmtId="2" fontId="19" fillId="0" borderId="3" xfId="0" applyNumberFormat="1" applyFont="1" applyFill="1" applyBorder="1" applyAlignment="1">
      <alignment horizontal="left" vertical="top" shrinkToFit="1"/>
    </xf>
    <xf numFmtId="2" fontId="19" fillId="0" borderId="11" xfId="0" applyNumberFormat="1" applyFont="1" applyFill="1" applyBorder="1" applyAlignment="1">
      <alignment horizontal="left" vertical="top" shrinkToFit="1"/>
    </xf>
    <xf numFmtId="2" fontId="19" fillId="0" borderId="12" xfId="0" applyNumberFormat="1" applyFont="1" applyFill="1" applyBorder="1" applyAlignment="1">
      <alignment horizontal="left" vertical="top" shrinkToFit="1"/>
    </xf>
    <xf numFmtId="0" fontId="26" fillId="0" borderId="69" xfId="0" applyFont="1" applyBorder="1" applyAlignment="1">
      <alignment horizontal="left" vertical="center"/>
    </xf>
    <xf numFmtId="1" fontId="40" fillId="0" borderId="24" xfId="0" applyNumberFormat="1" applyFont="1" applyBorder="1" applyAlignment="1">
      <alignment horizontal="left" vertical="center"/>
    </xf>
    <xf numFmtId="1" fontId="40" fillId="0" borderId="76" xfId="0" applyNumberFormat="1" applyFont="1" applyBorder="1" applyAlignment="1">
      <alignment horizontal="left" vertical="center"/>
    </xf>
    <xf numFmtId="1" fontId="28" fillId="0" borderId="62" xfId="0" applyNumberFormat="1" applyFont="1" applyBorder="1" applyAlignment="1">
      <alignment horizontal="left"/>
    </xf>
    <xf numFmtId="3" fontId="29" fillId="0" borderId="5" xfId="0" applyNumberFormat="1" applyFont="1" applyBorder="1" applyAlignment="1">
      <alignment horizontal="left"/>
    </xf>
    <xf numFmtId="3" fontId="29" fillId="0" borderId="1" xfId="0" applyNumberFormat="1" applyFont="1" applyBorder="1" applyAlignment="1">
      <alignment horizontal="left"/>
    </xf>
    <xf numFmtId="0" fontId="26" fillId="0" borderId="3" xfId="0" applyFont="1" applyBorder="1"/>
    <xf numFmtId="0" fontId="26" fillId="0" borderId="4" xfId="0" applyFont="1" applyBorder="1"/>
    <xf numFmtId="0" fontId="26" fillId="0" borderId="0" xfId="0" applyFont="1"/>
    <xf numFmtId="0" fontId="22" fillId="0" borderId="1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45" fillId="0" borderId="3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40" fillId="0" borderId="66" xfId="0" applyFont="1" applyBorder="1" applyAlignment="1">
      <alignment horizontal="justify" vertical="justify" wrapText="1"/>
    </xf>
    <xf numFmtId="0" fontId="40" fillId="0" borderId="54" xfId="0" applyFont="1" applyBorder="1" applyAlignment="1">
      <alignment horizontal="justify" vertical="justify" wrapText="1"/>
    </xf>
    <xf numFmtId="0" fontId="47" fillId="0" borderId="5" xfId="0" applyFont="1" applyBorder="1" applyAlignment="1">
      <alignment horizontal="left"/>
    </xf>
    <xf numFmtId="3" fontId="47" fillId="0" borderId="5" xfId="0" applyNumberFormat="1" applyFont="1" applyBorder="1" applyAlignment="1">
      <alignment horizontal="left"/>
    </xf>
    <xf numFmtId="3" fontId="47" fillId="0" borderId="1" xfId="0" applyNumberFormat="1" applyFont="1" applyBorder="1" applyAlignment="1">
      <alignment horizontal="left"/>
    </xf>
    <xf numFmtId="0" fontId="47" fillId="0" borderId="3" xfId="0" applyFont="1" applyBorder="1" applyAlignment="1">
      <alignment horizontal="left"/>
    </xf>
    <xf numFmtId="0" fontId="47" fillId="0" borderId="4" xfId="0" applyFont="1" applyBorder="1" applyAlignment="1">
      <alignment horizontal="left"/>
    </xf>
    <xf numFmtId="0" fontId="47" fillId="0" borderId="3" xfId="0" applyFont="1" applyBorder="1"/>
    <xf numFmtId="0" fontId="47" fillId="0" borderId="4" xfId="0" applyFont="1" applyBorder="1"/>
    <xf numFmtId="0" fontId="47" fillId="0" borderId="0" xfId="0" applyFont="1"/>
    <xf numFmtId="1" fontId="28" fillId="0" borderId="8" xfId="0" applyNumberFormat="1" applyFont="1" applyBorder="1"/>
    <xf numFmtId="1" fontId="28" fillId="0" borderId="3" xfId="0" applyNumberFormat="1" applyFont="1" applyBorder="1"/>
    <xf numFmtId="0" fontId="40" fillId="0" borderId="58" xfId="0" applyFont="1" applyBorder="1" applyAlignment="1">
      <alignment horizontal="justify" vertical="justify" wrapText="1"/>
    </xf>
    <xf numFmtId="0" fontId="40" fillId="0" borderId="52" xfId="0" applyFont="1" applyBorder="1" applyAlignment="1">
      <alignment horizontal="justify" vertical="justify" wrapText="1"/>
    </xf>
    <xf numFmtId="0" fontId="40" fillId="0" borderId="0" xfId="0" applyFont="1" applyAlignment="1">
      <alignment horizontal="justify" vertical="justify" wrapText="1"/>
    </xf>
    <xf numFmtId="3" fontId="3" fillId="0" borderId="66" xfId="0" applyNumberFormat="1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4" xfId="0" applyFont="1" applyBorder="1" applyAlignment="1">
      <alignment horizontal="left"/>
    </xf>
    <xf numFmtId="3" fontId="3" fillId="0" borderId="52" xfId="0" applyNumberFormat="1" applyFont="1" applyBorder="1" applyAlignment="1">
      <alignment horizontal="left"/>
    </xf>
    <xf numFmtId="0" fontId="10" fillId="0" borderId="66" xfId="0" applyFont="1" applyBorder="1" applyAlignment="1">
      <alignment horizontal="left"/>
    </xf>
    <xf numFmtId="0" fontId="10" fillId="0" borderId="52" xfId="0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3" fontId="10" fillId="0" borderId="8" xfId="0" applyNumberFormat="1" applyFont="1" applyBorder="1" applyAlignment="1">
      <alignment horizontal="left"/>
    </xf>
    <xf numFmtId="3" fontId="10" fillId="0" borderId="52" xfId="0" applyNumberFormat="1" applyFont="1" applyBorder="1" applyAlignment="1">
      <alignment horizontal="left"/>
    </xf>
    <xf numFmtId="0" fontId="10" fillId="0" borderId="73" xfId="0" applyFont="1" applyBorder="1" applyAlignment="1">
      <alignment horizontal="left"/>
    </xf>
    <xf numFmtId="0" fontId="10" fillId="0" borderId="54" xfId="0" applyFont="1" applyBorder="1" applyAlignment="1">
      <alignment horizontal="left"/>
    </xf>
    <xf numFmtId="3" fontId="10" fillId="0" borderId="66" xfId="0" applyNumberFormat="1" applyFont="1" applyBorder="1" applyAlignment="1">
      <alignment horizontal="left"/>
    </xf>
    <xf numFmtId="1" fontId="27" fillId="0" borderId="7" xfId="0" applyNumberFormat="1" applyFont="1" applyBorder="1" applyAlignment="1">
      <alignment horizontal="left"/>
    </xf>
    <xf numFmtId="1" fontId="18" fillId="0" borderId="50" xfId="0" applyNumberFormat="1" applyFont="1" applyBorder="1" applyAlignment="1">
      <alignment horizontal="left" vertical="center"/>
    </xf>
    <xf numFmtId="1" fontId="18" fillId="0" borderId="15" xfId="0" applyNumberFormat="1" applyFont="1" applyBorder="1" applyAlignment="1">
      <alignment horizontal="left"/>
    </xf>
    <xf numFmtId="1" fontId="18" fillId="0" borderId="63" xfId="0" applyNumberFormat="1" applyFont="1" applyBorder="1" applyAlignment="1">
      <alignment horizontal="left" vertical="center"/>
    </xf>
    <xf numFmtId="0" fontId="38" fillId="0" borderId="68" xfId="0" applyFont="1" applyFill="1" applyBorder="1" applyAlignment="1">
      <alignment horizontal="left" vertical="justify" wrapText="1"/>
    </xf>
    <xf numFmtId="2" fontId="38" fillId="0" borderId="64" xfId="0" applyNumberFormat="1" applyFont="1" applyBorder="1" applyAlignment="1">
      <alignment horizontal="left"/>
    </xf>
    <xf numFmtId="1" fontId="20" fillId="0" borderId="36" xfId="0" applyNumberFormat="1" applyFont="1" applyBorder="1" applyAlignment="1">
      <alignment horizontal="left"/>
    </xf>
    <xf numFmtId="1" fontId="18" fillId="0" borderId="7" xfId="0" applyNumberFormat="1" applyFont="1" applyBorder="1" applyAlignment="1">
      <alignment horizontal="left" wrapText="1"/>
    </xf>
    <xf numFmtId="3" fontId="0" fillId="0" borderId="0" xfId="0" applyNumberFormat="1"/>
    <xf numFmtId="2" fontId="23" fillId="0" borderId="3" xfId="1" applyNumberFormat="1" applyFont="1" applyBorder="1" applyAlignment="1">
      <alignment horizontal="right"/>
    </xf>
    <xf numFmtId="2" fontId="24" fillId="0" borderId="3" xfId="0" applyNumberFormat="1" applyFont="1" applyBorder="1" applyAlignment="1">
      <alignment horizontal="left" vertical="center"/>
    </xf>
    <xf numFmtId="2" fontId="24" fillId="0" borderId="3" xfId="1" applyNumberFormat="1" applyFont="1" applyBorder="1" applyAlignment="1">
      <alignment horizontal="right"/>
    </xf>
    <xf numFmtId="2" fontId="23" fillId="0" borderId="3" xfId="0" applyNumberFormat="1" applyFont="1" applyBorder="1" applyAlignment="1">
      <alignment horizontal="right"/>
    </xf>
    <xf numFmtId="2" fontId="23" fillId="0" borderId="18" xfId="1" applyNumberFormat="1" applyFont="1" applyBorder="1" applyAlignment="1">
      <alignment horizontal="right"/>
    </xf>
    <xf numFmtId="0" fontId="56" fillId="0" borderId="0" xfId="0" applyFont="1" applyAlignment="1">
      <alignment horizontal="left"/>
    </xf>
    <xf numFmtId="2" fontId="18" fillId="0" borderId="28" xfId="0" applyNumberFormat="1" applyFont="1" applyBorder="1" applyAlignment="1">
      <alignment horizontal="left"/>
    </xf>
    <xf numFmtId="2" fontId="1" fillId="0" borderId="11" xfId="0" applyNumberFormat="1" applyFont="1" applyBorder="1" applyAlignment="1">
      <alignment horizontal="left"/>
    </xf>
    <xf numFmtId="2" fontId="1" fillId="0" borderId="12" xfId="0" applyNumberFormat="1" applyFont="1" applyBorder="1" applyAlignment="1">
      <alignment horizontal="left"/>
    </xf>
    <xf numFmtId="3" fontId="26" fillId="0" borderId="4" xfId="0" applyNumberFormat="1" applyFont="1" applyBorder="1" applyAlignment="1">
      <alignment horizontal="left"/>
    </xf>
    <xf numFmtId="2" fontId="19" fillId="0" borderId="62" xfId="0" applyNumberFormat="1" applyFont="1" applyBorder="1" applyAlignment="1">
      <alignment horizontal="left"/>
    </xf>
    <xf numFmtId="0" fontId="22" fillId="0" borderId="51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2" fontId="22" fillId="0" borderId="55" xfId="0" applyNumberFormat="1" applyFont="1" applyBorder="1" applyAlignment="1">
      <alignment horizontal="center" wrapText="1"/>
    </xf>
    <xf numFmtId="2" fontId="22" fillId="0" borderId="53" xfId="0" applyNumberFormat="1" applyFont="1" applyBorder="1" applyAlignment="1">
      <alignment horizontal="center" wrapText="1"/>
    </xf>
    <xf numFmtId="2" fontId="22" fillId="0" borderId="54" xfId="0" applyNumberFormat="1" applyFont="1" applyBorder="1"/>
    <xf numFmtId="2" fontId="22" fillId="0" borderId="65" xfId="0" applyNumberFormat="1" applyFont="1" applyBorder="1"/>
    <xf numFmtId="2" fontId="22" fillId="0" borderId="66" xfId="0" applyNumberFormat="1" applyFont="1" applyBorder="1"/>
    <xf numFmtId="2" fontId="22" fillId="0" borderId="17" xfId="0" applyNumberFormat="1" applyFont="1" applyBorder="1" applyAlignment="1">
      <alignment wrapText="1"/>
    </xf>
    <xf numFmtId="2" fontId="22" fillId="0" borderId="17" xfId="0" applyNumberFormat="1" applyFont="1" applyBorder="1" applyAlignment="1">
      <alignment horizontal="center" wrapText="1"/>
    </xf>
    <xf numFmtId="2" fontId="22" fillId="0" borderId="0" xfId="0" applyNumberFormat="1" applyFont="1" applyBorder="1" applyAlignment="1">
      <alignment horizontal="center" wrapText="1"/>
    </xf>
    <xf numFmtId="2" fontId="22" fillId="0" borderId="74" xfId="0" applyNumberFormat="1" applyFont="1" applyBorder="1"/>
    <xf numFmtId="2" fontId="22" fillId="0" borderId="67" xfId="0" applyNumberFormat="1" applyFont="1" applyBorder="1"/>
    <xf numFmtId="2" fontId="22" fillId="0" borderId="49" xfId="0" applyNumberFormat="1" applyFont="1" applyBorder="1"/>
    <xf numFmtId="2" fontId="57" fillId="0" borderId="55" xfId="0" applyNumberFormat="1" applyFont="1" applyBorder="1" applyAlignment="1">
      <alignment horizontal="center" wrapText="1"/>
    </xf>
    <xf numFmtId="2" fontId="57" fillId="0" borderId="53" xfId="0" applyNumberFormat="1" applyFont="1" applyBorder="1" applyAlignment="1">
      <alignment horizontal="center" wrapText="1"/>
    </xf>
    <xf numFmtId="2" fontId="22" fillId="0" borderId="25" xfId="0" applyNumberFormat="1" applyFont="1" applyBorder="1" applyAlignment="1">
      <alignment horizontal="center" wrapText="1"/>
    </xf>
    <xf numFmtId="2" fontId="22" fillId="0" borderId="24" xfId="0" applyNumberFormat="1" applyFont="1" applyBorder="1" applyAlignment="1">
      <alignment horizontal="center" wrapText="1"/>
    </xf>
    <xf numFmtId="2" fontId="22" fillId="0" borderId="77" xfId="0" applyNumberFormat="1" applyFont="1" applyBorder="1"/>
    <xf numFmtId="2" fontId="22" fillId="0" borderId="78" xfId="0" applyNumberFormat="1" applyFont="1" applyBorder="1"/>
    <xf numFmtId="2" fontId="22" fillId="0" borderId="35" xfId="0" applyNumberFormat="1" applyFont="1" applyBorder="1"/>
    <xf numFmtId="1" fontId="18" fillId="0" borderId="13" xfId="0" applyNumberFormat="1" applyFont="1" applyBorder="1" applyAlignment="1">
      <alignment horizontal="left"/>
    </xf>
    <xf numFmtId="1" fontId="18" fillId="0" borderId="51" xfId="0" applyNumberFormat="1" applyFont="1" applyBorder="1" applyAlignment="1">
      <alignment horizontal="left"/>
    </xf>
    <xf numFmtId="1" fontId="18" fillId="0" borderId="13" xfId="1" applyNumberFormat="1" applyFont="1" applyBorder="1" applyAlignment="1">
      <alignment horizontal="left"/>
    </xf>
    <xf numFmtId="1" fontId="18" fillId="0" borderId="51" xfId="1" applyNumberFormat="1" applyFont="1" applyBorder="1" applyAlignment="1">
      <alignment horizontal="left"/>
    </xf>
    <xf numFmtId="1" fontId="20" fillId="0" borderId="30" xfId="0" applyNumberFormat="1" applyFont="1" applyFill="1" applyBorder="1" applyAlignment="1">
      <alignment horizontal="left" vertical="center" wrapText="1"/>
    </xf>
    <xf numFmtId="1" fontId="20" fillId="0" borderId="30" xfId="0" applyNumberFormat="1" applyFont="1" applyFill="1" applyBorder="1" applyAlignment="1">
      <alignment horizontal="left" vertical="top" wrapText="1"/>
    </xf>
    <xf numFmtId="1" fontId="39" fillId="0" borderId="30" xfId="0" applyNumberFormat="1" applyFont="1" applyFill="1" applyBorder="1" applyAlignment="1">
      <alignment horizontal="left" vertical="top" wrapText="1"/>
    </xf>
    <xf numFmtId="1" fontId="27" fillId="0" borderId="30" xfId="0" applyNumberFormat="1" applyFont="1" applyFill="1" applyBorder="1" applyAlignment="1">
      <alignment horizontal="left" vertical="top" wrapText="1"/>
    </xf>
    <xf numFmtId="1" fontId="1" fillId="0" borderId="30" xfId="0" applyNumberFormat="1" applyFont="1" applyFill="1" applyBorder="1" applyAlignment="1">
      <alignment horizontal="left" vertical="top" wrapText="1"/>
    </xf>
    <xf numFmtId="1" fontId="4" fillId="0" borderId="30" xfId="0" applyNumberFormat="1" applyFont="1" applyFill="1" applyBorder="1" applyAlignment="1">
      <alignment horizontal="left" vertical="top" wrapText="1"/>
    </xf>
    <xf numFmtId="1" fontId="20" fillId="0" borderId="31" xfId="0" applyNumberFormat="1" applyFont="1" applyFill="1" applyBorder="1" applyAlignment="1">
      <alignment horizontal="left" vertical="top" wrapText="1"/>
    </xf>
    <xf numFmtId="1" fontId="38" fillId="0" borderId="31" xfId="0" applyNumberFormat="1" applyFont="1" applyFill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left"/>
    </xf>
    <xf numFmtId="1" fontId="1" fillId="0" borderId="20" xfId="0" applyNumberFormat="1" applyFont="1" applyBorder="1" applyAlignment="1">
      <alignment horizontal="left"/>
    </xf>
    <xf numFmtId="1" fontId="39" fillId="0" borderId="1" xfId="0" applyNumberFormat="1" applyFont="1" applyBorder="1" applyAlignment="1">
      <alignment horizontal="left" vertical="center"/>
    </xf>
    <xf numFmtId="2" fontId="20" fillId="0" borderId="71" xfId="0" applyNumberFormat="1" applyFont="1" applyFill="1" applyBorder="1" applyAlignment="1">
      <alignment horizontal="left" vertical="center" wrapText="1"/>
    </xf>
    <xf numFmtId="1" fontId="4" fillId="0" borderId="79" xfId="0" applyNumberFormat="1" applyFont="1" applyFill="1" applyBorder="1" applyAlignment="1">
      <alignment horizontal="left" vertical="top" wrapText="1"/>
    </xf>
    <xf numFmtId="1" fontId="38" fillId="0" borderId="21" xfId="0" applyNumberFormat="1" applyFont="1" applyFill="1" applyBorder="1" applyAlignment="1">
      <alignment horizontal="left" vertical="center"/>
    </xf>
    <xf numFmtId="2" fontId="18" fillId="0" borderId="1" xfId="0" applyNumberFormat="1" applyFont="1" applyBorder="1" applyAlignment="1">
      <alignment horizontal="left" vertical="center"/>
    </xf>
    <xf numFmtId="2" fontId="18" fillId="0" borderId="3" xfId="0" applyNumberFormat="1" applyFont="1" applyBorder="1" applyAlignment="1">
      <alignment horizontal="left" vertical="center"/>
    </xf>
    <xf numFmtId="2" fontId="19" fillId="0" borderId="62" xfId="0" applyNumberFormat="1" applyFont="1" applyBorder="1" applyAlignment="1">
      <alignment horizontal="left" vertical="center"/>
    </xf>
    <xf numFmtId="2" fontId="19" fillId="0" borderId="12" xfId="0" applyNumberFormat="1" applyFont="1" applyBorder="1" applyAlignment="1">
      <alignment horizontal="left" vertical="center"/>
    </xf>
    <xf numFmtId="0" fontId="58" fillId="0" borderId="14" xfId="0" applyFont="1" applyBorder="1" applyAlignment="1">
      <alignment horizontal="left"/>
    </xf>
    <xf numFmtId="0" fontId="58" fillId="0" borderId="16" xfId="0" applyFont="1" applyBorder="1" applyAlignment="1">
      <alignment horizontal="left"/>
    </xf>
    <xf numFmtId="0" fontId="52" fillId="0" borderId="16" xfId="0" applyFont="1" applyBorder="1" applyAlignment="1">
      <alignment horizontal="left"/>
    </xf>
    <xf numFmtId="0" fontId="52" fillId="0" borderId="15" xfId="0" applyFont="1" applyBorder="1" applyAlignment="1">
      <alignment horizontal="left"/>
    </xf>
    <xf numFmtId="0" fontId="52" fillId="0" borderId="14" xfId="0" applyFont="1" applyBorder="1" applyAlignment="1">
      <alignment horizontal="left"/>
    </xf>
    <xf numFmtId="0" fontId="52" fillId="0" borderId="1" xfId="0" applyFont="1" applyBorder="1" applyAlignment="1">
      <alignment horizontal="left"/>
    </xf>
    <xf numFmtId="0" fontId="52" fillId="0" borderId="3" xfId="0" applyFont="1" applyBorder="1" applyAlignment="1">
      <alignment horizontal="left"/>
    </xf>
    <xf numFmtId="0" fontId="59" fillId="0" borderId="0" xfId="0" applyFont="1"/>
    <xf numFmtId="0" fontId="22" fillId="0" borderId="33" xfId="0" applyFont="1" applyBorder="1" applyAlignment="1">
      <alignment horizontal="left"/>
    </xf>
    <xf numFmtId="0" fontId="22" fillId="0" borderId="34" xfId="0" applyFont="1" applyBorder="1" applyAlignment="1">
      <alignment horizontal="left"/>
    </xf>
    <xf numFmtId="0" fontId="22" fillId="0" borderId="62" xfId="0" applyFont="1" applyBorder="1" applyAlignment="1">
      <alignment horizontal="left"/>
    </xf>
    <xf numFmtId="1" fontId="23" fillId="0" borderId="21" xfId="2" applyNumberFormat="1" applyFont="1" applyBorder="1" applyAlignment="1">
      <alignment horizontal="left"/>
    </xf>
    <xf numFmtId="1" fontId="23" fillId="0" borderId="18" xfId="2" applyNumberFormat="1" applyFont="1" applyBorder="1" applyAlignment="1">
      <alignment horizontal="left"/>
    </xf>
    <xf numFmtId="1" fontId="23" fillId="0" borderId="18" xfId="1" applyNumberFormat="1" applyFont="1" applyBorder="1" applyAlignment="1">
      <alignment horizontal="left"/>
    </xf>
    <xf numFmtId="0" fontId="47" fillId="0" borderId="58" xfId="0" applyFont="1" applyBorder="1" applyAlignment="1">
      <alignment horizontal="left"/>
    </xf>
    <xf numFmtId="1" fontId="47" fillId="0" borderId="52" xfId="0" applyNumberFormat="1" applyFont="1" applyBorder="1" applyAlignment="1">
      <alignment horizontal="left"/>
    </xf>
    <xf numFmtId="1" fontId="47" fillId="0" borderId="55" xfId="0" applyNumberFormat="1" applyFont="1" applyBorder="1" applyAlignment="1">
      <alignment horizontal="left"/>
    </xf>
    <xf numFmtId="2" fontId="47" fillId="0" borderId="77" xfId="0" applyNumberFormat="1" applyFont="1" applyBorder="1" applyAlignment="1">
      <alignment horizontal="left"/>
    </xf>
    <xf numFmtId="2" fontId="47" fillId="0" borderId="35" xfId="0" applyNumberFormat="1" applyFont="1" applyBorder="1" applyAlignment="1">
      <alignment horizontal="left"/>
    </xf>
    <xf numFmtId="2" fontId="47" fillId="0" borderId="78" xfId="0" applyNumberFormat="1" applyFont="1" applyBorder="1" applyAlignment="1">
      <alignment horizontal="left"/>
    </xf>
    <xf numFmtId="1" fontId="47" fillId="0" borderId="35" xfId="0" applyNumberFormat="1" applyFont="1" applyBorder="1" applyAlignment="1">
      <alignment horizontal="left"/>
    </xf>
    <xf numFmtId="1" fontId="47" fillId="0" borderId="65" xfId="0" applyNumberFormat="1" applyFont="1" applyBorder="1" applyAlignment="1">
      <alignment horizontal="left"/>
    </xf>
    <xf numFmtId="1" fontId="47" fillId="0" borderId="66" xfId="0" applyNumberFormat="1" applyFont="1" applyBorder="1" applyAlignment="1">
      <alignment horizontal="left"/>
    </xf>
    <xf numFmtId="1" fontId="47" fillId="0" borderId="53" xfId="0" applyNumberFormat="1" applyFont="1" applyBorder="1" applyAlignment="1">
      <alignment horizontal="left"/>
    </xf>
    <xf numFmtId="2" fontId="47" fillId="0" borderId="53" xfId="0" applyNumberFormat="1" applyFont="1" applyBorder="1" applyAlignment="1">
      <alignment horizontal="left"/>
    </xf>
    <xf numFmtId="2" fontId="47" fillId="0" borderId="55" xfId="0" applyNumberFormat="1" applyFont="1" applyBorder="1" applyAlignment="1">
      <alignment horizontal="left"/>
    </xf>
    <xf numFmtId="2" fontId="47" fillId="0" borderId="52" xfId="0" applyNumberFormat="1" applyFont="1" applyBorder="1" applyAlignment="1">
      <alignment horizontal="left"/>
    </xf>
    <xf numFmtId="2" fontId="47" fillId="0" borderId="66" xfId="0" applyNumberFormat="1" applyFont="1" applyBorder="1" applyAlignment="1">
      <alignment horizontal="left"/>
    </xf>
    <xf numFmtId="0" fontId="47" fillId="0" borderId="0" xfId="0" applyFont="1" applyAlignment="1">
      <alignment horizontal="left"/>
    </xf>
    <xf numFmtId="0" fontId="47" fillId="0" borderId="64" xfId="0" applyFont="1" applyBorder="1" applyAlignment="1">
      <alignment horizontal="left"/>
    </xf>
    <xf numFmtId="1" fontId="47" fillId="0" borderId="26" xfId="0" applyNumberFormat="1" applyFont="1" applyBorder="1" applyAlignment="1">
      <alignment horizontal="left"/>
    </xf>
    <xf numFmtId="1" fontId="47" fillId="0" borderId="25" xfId="0" applyNumberFormat="1" applyFont="1" applyBorder="1" applyAlignment="1">
      <alignment horizontal="left"/>
    </xf>
    <xf numFmtId="2" fontId="47" fillId="0" borderId="74" xfId="0" applyNumberFormat="1" applyFont="1" applyBorder="1" applyAlignment="1">
      <alignment horizontal="left"/>
    </xf>
    <xf numFmtId="2" fontId="47" fillId="0" borderId="49" xfId="0" applyNumberFormat="1" applyFont="1" applyBorder="1" applyAlignment="1">
      <alignment horizontal="left"/>
    </xf>
    <xf numFmtId="2" fontId="47" fillId="0" borderId="67" xfId="0" applyNumberFormat="1" applyFont="1" applyBorder="1" applyAlignment="1">
      <alignment horizontal="left"/>
    </xf>
    <xf numFmtId="1" fontId="47" fillId="0" borderId="49" xfId="0" applyNumberFormat="1" applyFont="1" applyBorder="1" applyAlignment="1">
      <alignment horizontal="left"/>
    </xf>
    <xf numFmtId="1" fontId="47" fillId="0" borderId="24" xfId="0" applyNumberFormat="1" applyFont="1" applyBorder="1" applyAlignment="1">
      <alignment horizontal="left"/>
    </xf>
    <xf numFmtId="1" fontId="47" fillId="0" borderId="0" xfId="0" applyNumberFormat="1" applyFont="1" applyBorder="1" applyAlignment="1">
      <alignment horizontal="left"/>
    </xf>
    <xf numFmtId="1" fontId="47" fillId="0" borderId="17" xfId="0" applyNumberFormat="1" applyFont="1" applyBorder="1" applyAlignment="1">
      <alignment horizontal="left"/>
    </xf>
    <xf numFmtId="0" fontId="47" fillId="0" borderId="26" xfId="0" applyFont="1" applyBorder="1" applyAlignment="1">
      <alignment horizontal="left"/>
    </xf>
    <xf numFmtId="0" fontId="47" fillId="0" borderId="35" xfId="0" applyFont="1" applyBorder="1" applyAlignment="1">
      <alignment horizontal="left"/>
    </xf>
    <xf numFmtId="1" fontId="47" fillId="0" borderId="41" xfId="0" applyNumberFormat="1" applyFont="1" applyBorder="1" applyAlignment="1">
      <alignment horizontal="left"/>
    </xf>
    <xf numFmtId="1" fontId="47" fillId="0" borderId="40" xfId="0" applyNumberFormat="1" applyFont="1" applyBorder="1" applyAlignment="1">
      <alignment horizontal="left"/>
    </xf>
    <xf numFmtId="0" fontId="56" fillId="0" borderId="59" xfId="0" applyFont="1" applyBorder="1" applyAlignment="1">
      <alignment horizontal="left"/>
    </xf>
    <xf numFmtId="0" fontId="56" fillId="0" borderId="61" xfId="0" applyFont="1" applyBorder="1" applyAlignment="1">
      <alignment horizontal="left"/>
    </xf>
    <xf numFmtId="0" fontId="56" fillId="0" borderId="12" xfId="0" applyFont="1" applyBorder="1" applyAlignment="1">
      <alignment horizontal="left"/>
    </xf>
    <xf numFmtId="0" fontId="56" fillId="0" borderId="70" xfId="0" applyFont="1" applyBorder="1" applyAlignment="1">
      <alignment horizontal="left"/>
    </xf>
    <xf numFmtId="0" fontId="56" fillId="0" borderId="61" xfId="0" applyFont="1" applyBorder="1" applyAlignment="1">
      <alignment horizontal="center"/>
    </xf>
    <xf numFmtId="0" fontId="56" fillId="0" borderId="75" xfId="0" applyFont="1" applyBorder="1" applyAlignment="1">
      <alignment horizontal="center"/>
    </xf>
    <xf numFmtId="0" fontId="56" fillId="0" borderId="59" xfId="0" applyFont="1" applyBorder="1" applyAlignment="1">
      <alignment horizontal="center"/>
    </xf>
    <xf numFmtId="0" fontId="56" fillId="0" borderId="0" xfId="0" applyFont="1"/>
    <xf numFmtId="0" fontId="56" fillId="0" borderId="58" xfId="0" applyFont="1" applyBorder="1" applyAlignment="1">
      <alignment horizontal="left"/>
    </xf>
    <xf numFmtId="0" fontId="56" fillId="0" borderId="58" xfId="0" applyFont="1" applyBorder="1"/>
    <xf numFmtId="0" fontId="56" fillId="0" borderId="54" xfId="0" applyFont="1" applyBorder="1"/>
    <xf numFmtId="2" fontId="56" fillId="0" borderId="73" xfId="0" applyNumberFormat="1" applyFont="1" applyBorder="1" applyAlignment="1">
      <alignment vertical="center"/>
    </xf>
    <xf numFmtId="2" fontId="56" fillId="0" borderId="54" xfId="0" applyNumberFormat="1" applyFont="1" applyBorder="1" applyAlignment="1">
      <alignment vertical="center"/>
    </xf>
    <xf numFmtId="2" fontId="56" fillId="0" borderId="73" xfId="0" applyNumberFormat="1" applyFont="1" applyBorder="1" applyAlignment="1">
      <alignment horizontal="right"/>
    </xf>
    <xf numFmtId="2" fontId="56" fillId="0" borderId="54" xfId="0" applyNumberFormat="1" applyFont="1" applyBorder="1" applyAlignment="1">
      <alignment horizontal="right"/>
    </xf>
    <xf numFmtId="2" fontId="56" fillId="0" borderId="73" xfId="0" applyNumberFormat="1" applyFont="1" applyBorder="1" applyAlignment="1">
      <alignment horizontal="left"/>
    </xf>
    <xf numFmtId="2" fontId="56" fillId="0" borderId="54" xfId="0" applyNumberFormat="1" applyFont="1" applyBorder="1" applyAlignment="1">
      <alignment horizontal="left"/>
    </xf>
    <xf numFmtId="2" fontId="56" fillId="0" borderId="73" xfId="1" applyNumberFormat="1" applyFont="1" applyBorder="1" applyAlignment="1">
      <alignment horizontal="right"/>
    </xf>
    <xf numFmtId="2" fontId="56" fillId="0" borderId="54" xfId="1" applyNumberFormat="1" applyFont="1" applyBorder="1" applyAlignment="1">
      <alignment horizontal="right"/>
    </xf>
    <xf numFmtId="2" fontId="56" fillId="0" borderId="73" xfId="0" applyNumberFormat="1" applyFont="1" applyBorder="1" applyAlignment="1">
      <alignment horizontal="right" wrapText="1"/>
    </xf>
    <xf numFmtId="2" fontId="56" fillId="0" borderId="54" xfId="0" applyNumberFormat="1" applyFont="1" applyBorder="1" applyAlignment="1">
      <alignment horizontal="right" wrapText="1"/>
    </xf>
    <xf numFmtId="3" fontId="56" fillId="0" borderId="73" xfId="0" applyNumberFormat="1" applyFont="1" applyBorder="1" applyAlignment="1">
      <alignment horizontal="right"/>
    </xf>
    <xf numFmtId="3" fontId="56" fillId="0" borderId="54" xfId="0" applyNumberFormat="1" applyFont="1" applyBorder="1" applyAlignment="1">
      <alignment horizontal="right"/>
    </xf>
    <xf numFmtId="2" fontId="56" fillId="0" borderId="73" xfId="0" applyNumberFormat="1" applyFont="1" applyFill="1" applyBorder="1" applyAlignment="1">
      <alignment horizontal="right"/>
    </xf>
    <xf numFmtId="2" fontId="56" fillId="0" borderId="54" xfId="0" applyNumberFormat="1" applyFont="1" applyFill="1" applyBorder="1" applyAlignment="1">
      <alignment horizontal="right"/>
    </xf>
    <xf numFmtId="2" fontId="56" fillId="0" borderId="66" xfId="1" applyNumberFormat="1" applyFont="1" applyBorder="1" applyAlignment="1">
      <alignment horizontal="right"/>
    </xf>
    <xf numFmtId="0" fontId="56" fillId="0" borderId="54" xfId="0" applyFont="1" applyBorder="1" applyAlignment="1">
      <alignment horizontal="center" vertical="center"/>
    </xf>
    <xf numFmtId="0" fontId="56" fillId="0" borderId="66" xfId="0" applyFont="1" applyBorder="1" applyAlignment="1">
      <alignment horizontal="center" vertical="center"/>
    </xf>
    <xf numFmtId="0" fontId="47" fillId="0" borderId="54" xfId="0" applyFont="1" applyBorder="1" applyAlignment="1">
      <alignment horizontal="left"/>
    </xf>
    <xf numFmtId="0" fontId="47" fillId="0" borderId="73" xfId="0" applyFont="1" applyBorder="1" applyAlignment="1">
      <alignment horizontal="left"/>
    </xf>
    <xf numFmtId="0" fontId="47" fillId="0" borderId="66" xfId="0" applyFont="1" applyBorder="1" applyAlignment="1">
      <alignment horizontal="left"/>
    </xf>
    <xf numFmtId="0" fontId="47" fillId="0" borderId="52" xfId="0" applyFont="1" applyBorder="1" applyAlignment="1">
      <alignment horizontal="left"/>
    </xf>
    <xf numFmtId="0" fontId="47" fillId="0" borderId="66" xfId="0" applyFont="1" applyBorder="1"/>
    <xf numFmtId="0" fontId="47" fillId="0" borderId="52" xfId="0" applyFont="1" applyBorder="1"/>
    <xf numFmtId="0" fontId="28" fillId="0" borderId="7" xfId="0" applyFont="1" applyBorder="1" applyAlignment="1">
      <alignment horizontal="left"/>
    </xf>
    <xf numFmtId="3" fontId="47" fillId="0" borderId="16" xfId="0" applyNumberFormat="1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6" fillId="0" borderId="16" xfId="0" applyFont="1" applyBorder="1" applyAlignment="1">
      <alignment horizontal="left"/>
    </xf>
    <xf numFmtId="3" fontId="47" fillId="0" borderId="54" xfId="0" applyNumberFormat="1" applyFont="1" applyBorder="1" applyAlignment="1">
      <alignment horizontal="left"/>
    </xf>
    <xf numFmtId="3" fontId="47" fillId="0" borderId="55" xfId="0" applyNumberFormat="1" applyFont="1" applyBorder="1" applyAlignment="1">
      <alignment horizontal="left"/>
    </xf>
    <xf numFmtId="0" fontId="56" fillId="0" borderId="30" xfId="0" applyFont="1" applyBorder="1" applyAlignment="1">
      <alignment horizontal="left"/>
    </xf>
    <xf numFmtId="0" fontId="56" fillId="0" borderId="1" xfId="0" applyFont="1" applyBorder="1" applyAlignment="1">
      <alignment horizontal="left"/>
    </xf>
    <xf numFmtId="3" fontId="56" fillId="0" borderId="3" xfId="0" applyNumberFormat="1" applyFont="1" applyBorder="1" applyAlignment="1">
      <alignment horizontal="left"/>
    </xf>
    <xf numFmtId="3" fontId="56" fillId="0" borderId="4" xfId="0" applyNumberFormat="1" applyFont="1" applyBorder="1" applyAlignment="1">
      <alignment horizontal="left"/>
    </xf>
    <xf numFmtId="0" fontId="56" fillId="0" borderId="3" xfId="0" applyFont="1" applyBorder="1" applyAlignment="1">
      <alignment horizontal="left"/>
    </xf>
    <xf numFmtId="0" fontId="56" fillId="0" borderId="5" xfId="0" applyFont="1" applyBorder="1" applyAlignment="1">
      <alignment horizontal="left"/>
    </xf>
    <xf numFmtId="3" fontId="56" fillId="0" borderId="9" xfId="0" applyNumberFormat="1" applyFont="1" applyBorder="1" applyAlignment="1">
      <alignment horizontal="left"/>
    </xf>
    <xf numFmtId="3" fontId="56" fillId="0" borderId="8" xfId="0" applyNumberFormat="1" applyFont="1" applyBorder="1" applyAlignment="1">
      <alignment horizontal="left"/>
    </xf>
    <xf numFmtId="2" fontId="19" fillId="0" borderId="19" xfId="0" applyNumberFormat="1" applyFont="1" applyBorder="1" applyAlignment="1">
      <alignment horizontal="left" vertical="center"/>
    </xf>
    <xf numFmtId="2" fontId="19" fillId="0" borderId="18" xfId="0" applyNumberFormat="1" applyFont="1" applyBorder="1" applyAlignment="1">
      <alignment horizontal="left" vertical="center"/>
    </xf>
    <xf numFmtId="2" fontId="19" fillId="0" borderId="19" xfId="0" applyNumberFormat="1" applyFont="1" applyBorder="1" applyAlignment="1">
      <alignment horizontal="left"/>
    </xf>
    <xf numFmtId="2" fontId="19" fillId="0" borderId="22" xfId="0" applyNumberFormat="1" applyFont="1" applyBorder="1" applyAlignment="1">
      <alignment horizontal="left"/>
    </xf>
    <xf numFmtId="2" fontId="19" fillId="0" borderId="21" xfId="0" applyNumberFormat="1" applyFont="1" applyBorder="1" applyAlignment="1">
      <alignment horizontal="left"/>
    </xf>
    <xf numFmtId="2" fontId="19" fillId="0" borderId="18" xfId="0" applyNumberFormat="1" applyFont="1" applyBorder="1" applyAlignment="1">
      <alignment horizontal="left"/>
    </xf>
    <xf numFmtId="2" fontId="19" fillId="0" borderId="19" xfId="2" applyNumberFormat="1" applyFont="1" applyBorder="1" applyAlignment="1">
      <alignment horizontal="left"/>
    </xf>
    <xf numFmtId="2" fontId="19" fillId="0" borderId="18" xfId="2" applyNumberFormat="1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2" fontId="1" fillId="0" borderId="19" xfId="0" applyNumberFormat="1" applyFont="1" applyBorder="1" applyAlignment="1">
      <alignment horizontal="left"/>
    </xf>
    <xf numFmtId="2" fontId="1" fillId="0" borderId="22" xfId="0" applyNumberFormat="1" applyFont="1" applyBorder="1" applyAlignment="1">
      <alignment horizontal="left"/>
    </xf>
    <xf numFmtId="165" fontId="27" fillId="0" borderId="21" xfId="0" applyNumberFormat="1" applyFont="1" applyBorder="1" applyAlignment="1">
      <alignment horizontal="left"/>
    </xf>
    <xf numFmtId="165" fontId="27" fillId="0" borderId="18" xfId="0" applyNumberFormat="1" applyFont="1" applyBorder="1" applyAlignment="1">
      <alignment horizontal="left"/>
    </xf>
    <xf numFmtId="2" fontId="19" fillId="0" borderId="20" xfId="0" applyNumberFormat="1" applyFont="1" applyFill="1" applyBorder="1" applyAlignment="1">
      <alignment horizontal="left"/>
    </xf>
    <xf numFmtId="2" fontId="19" fillId="0" borderId="18" xfId="0" applyNumberFormat="1" applyFont="1" applyFill="1" applyBorder="1" applyAlignment="1">
      <alignment horizontal="left"/>
    </xf>
    <xf numFmtId="2" fontId="19" fillId="0" borderId="19" xfId="1" applyNumberFormat="1" applyFont="1" applyBorder="1" applyAlignment="1">
      <alignment horizontal="left"/>
    </xf>
    <xf numFmtId="2" fontId="19" fillId="0" borderId="18" xfId="1" applyNumberFormat="1" applyFont="1" applyBorder="1" applyAlignment="1">
      <alignment horizontal="left"/>
    </xf>
    <xf numFmtId="2" fontId="19" fillId="0" borderId="74" xfId="0" applyNumberFormat="1" applyFont="1" applyBorder="1" applyAlignment="1">
      <alignment horizontal="left" vertical="center"/>
    </xf>
    <xf numFmtId="2" fontId="19" fillId="0" borderId="13" xfId="0" applyNumberFormat="1" applyFont="1" applyBorder="1" applyAlignment="1">
      <alignment horizontal="left" vertical="center"/>
    </xf>
    <xf numFmtId="2" fontId="19" fillId="0" borderId="21" xfId="0" applyNumberFormat="1" applyFont="1" applyBorder="1" applyAlignment="1">
      <alignment horizontal="left" vertical="center"/>
    </xf>
    <xf numFmtId="2" fontId="33" fillId="0" borderId="65" xfId="0" applyNumberFormat="1" applyFont="1" applyBorder="1" applyAlignment="1">
      <alignment horizontal="left" vertical="center"/>
    </xf>
    <xf numFmtId="2" fontId="33" fillId="0" borderId="73" xfId="0" applyNumberFormat="1" applyFont="1" applyBorder="1" applyAlignment="1">
      <alignment horizontal="left" vertical="center"/>
    </xf>
    <xf numFmtId="2" fontId="33" fillId="0" borderId="66" xfId="0" applyNumberFormat="1" applyFont="1" applyBorder="1" applyAlignment="1">
      <alignment horizontal="left" vertical="center"/>
    </xf>
    <xf numFmtId="2" fontId="33" fillId="0" borderId="51" xfId="0" applyNumberFormat="1" applyFont="1" applyBorder="1" applyAlignment="1">
      <alignment horizontal="left" vertical="center"/>
    </xf>
    <xf numFmtId="2" fontId="33" fillId="0" borderId="54" xfId="1" applyNumberFormat="1" applyFont="1" applyBorder="1" applyAlignment="1">
      <alignment horizontal="left"/>
    </xf>
    <xf numFmtId="2" fontId="33" fillId="0" borderId="58" xfId="1" applyNumberFormat="1" applyFont="1" applyBorder="1" applyAlignment="1">
      <alignment horizontal="left"/>
    </xf>
    <xf numFmtId="2" fontId="30" fillId="0" borderId="67" xfId="0" applyNumberFormat="1" applyFont="1" applyBorder="1" applyAlignment="1">
      <alignment horizontal="left" vertical="center"/>
    </xf>
    <xf numFmtId="2" fontId="30" fillId="0" borderId="49" xfId="0" applyNumberFormat="1" applyFont="1" applyBorder="1" applyAlignment="1">
      <alignment horizontal="left" vertical="center"/>
    </xf>
    <xf numFmtId="2" fontId="19" fillId="0" borderId="67" xfId="0" applyNumberFormat="1" applyFont="1" applyBorder="1" applyAlignment="1">
      <alignment horizontal="left"/>
    </xf>
    <xf numFmtId="2" fontId="19" fillId="0" borderId="72" xfId="0" applyNumberFormat="1" applyFont="1" applyBorder="1" applyAlignment="1">
      <alignment horizontal="left"/>
    </xf>
    <xf numFmtId="2" fontId="19" fillId="0" borderId="74" xfId="0" applyNumberFormat="1" applyFont="1" applyBorder="1" applyAlignment="1">
      <alignment horizontal="left"/>
    </xf>
    <xf numFmtId="2" fontId="19" fillId="0" borderId="49" xfId="0" applyNumberFormat="1" applyFont="1" applyBorder="1" applyAlignment="1">
      <alignment horizontal="left"/>
    </xf>
    <xf numFmtId="2" fontId="30" fillId="0" borderId="67" xfId="0" applyNumberFormat="1" applyFont="1" applyBorder="1" applyAlignment="1">
      <alignment horizontal="left"/>
    </xf>
    <xf numFmtId="2" fontId="30" fillId="0" borderId="49" xfId="0" applyNumberFormat="1" applyFont="1" applyBorder="1" applyAlignment="1">
      <alignment horizontal="left"/>
    </xf>
    <xf numFmtId="2" fontId="30" fillId="0" borderId="72" xfId="0" applyNumberFormat="1" applyFont="1" applyBorder="1" applyAlignment="1">
      <alignment horizontal="left"/>
    </xf>
    <xf numFmtId="2" fontId="30" fillId="0" borderId="74" xfId="0" applyNumberFormat="1" applyFont="1" applyBorder="1" applyAlignment="1">
      <alignment horizontal="left"/>
    </xf>
    <xf numFmtId="0" fontId="19" fillId="0" borderId="67" xfId="0" applyFont="1" applyBorder="1" applyAlignment="1">
      <alignment horizontal="left"/>
    </xf>
    <xf numFmtId="0" fontId="19" fillId="0" borderId="49" xfId="0" applyFont="1" applyBorder="1" applyAlignment="1">
      <alignment horizontal="left"/>
    </xf>
    <xf numFmtId="0" fontId="27" fillId="0" borderId="74" xfId="0" applyFont="1" applyBorder="1" applyAlignment="1">
      <alignment horizontal="left"/>
    </xf>
    <xf numFmtId="0" fontId="27" fillId="0" borderId="49" xfId="0" applyFont="1" applyBorder="1" applyAlignment="1">
      <alignment horizontal="left"/>
    </xf>
    <xf numFmtId="2" fontId="19" fillId="0" borderId="48" xfId="0" applyNumberFormat="1" applyFont="1" applyFill="1" applyBorder="1" applyAlignment="1">
      <alignment horizontal="left"/>
    </xf>
    <xf numFmtId="2" fontId="19" fillId="0" borderId="49" xfId="0" applyNumberFormat="1" applyFont="1" applyFill="1" applyBorder="1" applyAlignment="1">
      <alignment horizontal="left"/>
    </xf>
    <xf numFmtId="2" fontId="19" fillId="0" borderId="67" xfId="1" applyNumberFormat="1" applyFont="1" applyBorder="1" applyAlignment="1">
      <alignment horizontal="left"/>
    </xf>
    <xf numFmtId="2" fontId="19" fillId="0" borderId="49" xfId="1" applyNumberFormat="1" applyFont="1" applyBorder="1" applyAlignment="1">
      <alignment horizontal="left"/>
    </xf>
    <xf numFmtId="2" fontId="19" fillId="0" borderId="72" xfId="1" applyNumberFormat="1" applyFont="1" applyBorder="1" applyAlignment="1">
      <alignment horizontal="left"/>
    </xf>
    <xf numFmtId="2" fontId="19" fillId="0" borderId="49" xfId="0" applyNumberFormat="1" applyFont="1" applyBorder="1" applyAlignment="1">
      <alignment horizontal="left" vertical="center"/>
    </xf>
    <xf numFmtId="2" fontId="24" fillId="0" borderId="28" xfId="0" applyNumberFormat="1" applyFont="1" applyBorder="1" applyAlignment="1">
      <alignment horizontal="left"/>
    </xf>
    <xf numFmtId="2" fontId="24" fillId="0" borderId="21" xfId="0" applyNumberFormat="1" applyFont="1" applyBorder="1" applyAlignment="1">
      <alignment horizontal="left"/>
    </xf>
    <xf numFmtId="2" fontId="35" fillId="0" borderId="37" xfId="0" applyNumberFormat="1" applyFont="1" applyBorder="1" applyAlignment="1">
      <alignment horizontal="left"/>
    </xf>
    <xf numFmtId="2" fontId="24" fillId="0" borderId="37" xfId="0" applyNumberFormat="1" applyFont="1" applyBorder="1" applyAlignment="1">
      <alignment horizontal="left"/>
    </xf>
    <xf numFmtId="0" fontId="27" fillId="0" borderId="7" xfId="0" applyFont="1" applyBorder="1" applyAlignment="1">
      <alignment horizontal="left"/>
    </xf>
    <xf numFmtId="1" fontId="18" fillId="0" borderId="74" xfId="0" applyNumberFormat="1" applyFont="1" applyBorder="1" applyAlignment="1">
      <alignment horizontal="left" vertical="center"/>
    </xf>
    <xf numFmtId="1" fontId="18" fillId="0" borderId="17" xfId="0" applyNumberFormat="1" applyFont="1" applyBorder="1" applyAlignment="1">
      <alignment horizontal="left" vertical="center"/>
    </xf>
    <xf numFmtId="1" fontId="18" fillId="0" borderId="48" xfId="0" applyNumberFormat="1" applyFont="1" applyBorder="1" applyAlignment="1">
      <alignment horizontal="left"/>
    </xf>
    <xf numFmtId="1" fontId="23" fillId="0" borderId="48" xfId="0" applyNumberFormat="1" applyFont="1" applyBorder="1" applyAlignment="1">
      <alignment horizontal="left"/>
    </xf>
    <xf numFmtId="2" fontId="18" fillId="0" borderId="74" xfId="0" applyNumberFormat="1" applyFont="1" applyBorder="1" applyAlignment="1">
      <alignment horizontal="left"/>
    </xf>
    <xf numFmtId="3" fontId="20" fillId="0" borderId="67" xfId="0" applyNumberFormat="1" applyFont="1" applyBorder="1" applyAlignment="1">
      <alignment horizontal="left"/>
    </xf>
    <xf numFmtId="3" fontId="20" fillId="0" borderId="49" xfId="0" applyNumberFormat="1" applyFont="1" applyBorder="1" applyAlignment="1">
      <alignment horizontal="left"/>
    </xf>
    <xf numFmtId="1" fontId="18" fillId="0" borderId="48" xfId="0" applyNumberFormat="1" applyFont="1" applyFill="1" applyBorder="1" applyAlignment="1">
      <alignment horizontal="left"/>
    </xf>
    <xf numFmtId="1" fontId="18" fillId="0" borderId="0" xfId="0" applyNumberFormat="1" applyFont="1" applyFill="1" applyBorder="1" applyAlignment="1">
      <alignment horizontal="left"/>
    </xf>
    <xf numFmtId="1" fontId="18" fillId="0" borderId="48" xfId="1" applyNumberFormat="1" applyFont="1" applyBorder="1" applyAlignment="1">
      <alignment horizontal="left"/>
    </xf>
    <xf numFmtId="1" fontId="18" fillId="0" borderId="0" xfId="1" applyNumberFormat="1" applyFont="1" applyBorder="1" applyAlignment="1">
      <alignment horizontal="left"/>
    </xf>
    <xf numFmtId="1" fontId="18" fillId="0" borderId="17" xfId="1" applyNumberFormat="1" applyFont="1" applyBorder="1" applyAlignment="1">
      <alignment horizontal="left"/>
    </xf>
    <xf numFmtId="2" fontId="25" fillId="0" borderId="28" xfId="0" applyNumberFormat="1" applyFont="1" applyBorder="1" applyAlignment="1">
      <alignment horizontal="left"/>
    </xf>
    <xf numFmtId="2" fontId="25" fillId="0" borderId="8" xfId="0" applyNumberFormat="1" applyFont="1" applyBorder="1" applyAlignment="1">
      <alignment horizontal="left"/>
    </xf>
    <xf numFmtId="2" fontId="25" fillId="0" borderId="1" xfId="0" applyNumberFormat="1" applyFont="1" applyBorder="1" applyAlignment="1">
      <alignment horizontal="left"/>
    </xf>
    <xf numFmtId="2" fontId="25" fillId="0" borderId="3" xfId="0" applyNumberFormat="1" applyFont="1" applyBorder="1" applyAlignment="1">
      <alignment horizontal="left"/>
    </xf>
    <xf numFmtId="2" fontId="25" fillId="0" borderId="21" xfId="0" applyNumberFormat="1" applyFont="1" applyBorder="1" applyAlignment="1">
      <alignment horizontal="left"/>
    </xf>
    <xf numFmtId="2" fontId="25" fillId="0" borderId="18" xfId="0" applyNumberFormat="1" applyFont="1" applyBorder="1" applyAlignment="1">
      <alignment horizontal="left"/>
    </xf>
    <xf numFmtId="1" fontId="19" fillId="0" borderId="14" xfId="0" applyNumberFormat="1" applyFont="1" applyBorder="1" applyAlignment="1">
      <alignment horizontal="left" vertical="center"/>
    </xf>
    <xf numFmtId="0" fontId="58" fillId="0" borderId="15" xfId="0" applyFont="1" applyBorder="1" applyAlignment="1">
      <alignment horizontal="left"/>
    </xf>
    <xf numFmtId="0" fontId="60" fillId="0" borderId="1" xfId="0" applyFont="1" applyBorder="1" applyAlignment="1">
      <alignment horizontal="left"/>
    </xf>
    <xf numFmtId="0" fontId="60" fillId="0" borderId="3" xfId="0" applyFont="1" applyBorder="1" applyAlignment="1">
      <alignment horizontal="left"/>
    </xf>
    <xf numFmtId="0" fontId="60" fillId="0" borderId="15" xfId="0" applyFont="1" applyBorder="1" applyAlignment="1">
      <alignment horizontal="left"/>
    </xf>
    <xf numFmtId="0" fontId="60" fillId="0" borderId="14" xfId="0" applyFont="1" applyBorder="1" applyAlignment="1">
      <alignment horizontal="left"/>
    </xf>
    <xf numFmtId="0" fontId="61" fillId="0" borderId="0" xfId="0" applyFont="1"/>
    <xf numFmtId="0" fontId="47" fillId="0" borderId="16" xfId="0" applyFont="1" applyBorder="1" applyAlignment="1">
      <alignment horizontal="left"/>
    </xf>
    <xf numFmtId="1" fontId="47" fillId="0" borderId="3" xfId="0" applyNumberFormat="1" applyFont="1" applyBorder="1" applyAlignment="1">
      <alignment horizontal="left"/>
    </xf>
    <xf numFmtId="3" fontId="47" fillId="0" borderId="3" xfId="0" applyNumberFormat="1" applyFont="1" applyBorder="1" applyAlignment="1">
      <alignment horizontal="left"/>
    </xf>
    <xf numFmtId="3" fontId="47" fillId="0" borderId="4" xfId="0" applyNumberFormat="1" applyFont="1" applyBorder="1" applyAlignment="1">
      <alignment horizontal="left"/>
    </xf>
    <xf numFmtId="3" fontId="48" fillId="0" borderId="9" xfId="0" applyNumberFormat="1" applyFont="1" applyBorder="1" applyAlignment="1">
      <alignment horizontal="left"/>
    </xf>
    <xf numFmtId="3" fontId="48" fillId="0" borderId="8" xfId="0" applyNumberFormat="1" applyFont="1" applyBorder="1" applyAlignment="1">
      <alignment horizontal="left"/>
    </xf>
    <xf numFmtId="3" fontId="48" fillId="0" borderId="4" xfId="0" applyNumberFormat="1" applyFont="1" applyBorder="1" applyAlignment="1">
      <alignment horizontal="left"/>
    </xf>
    <xf numFmtId="0" fontId="48" fillId="0" borderId="1" xfId="0" applyFont="1" applyBorder="1" applyAlignment="1">
      <alignment horizontal="left"/>
    </xf>
    <xf numFmtId="3" fontId="48" fillId="0" borderId="3" xfId="0" applyNumberFormat="1" applyFont="1" applyBorder="1" applyAlignment="1">
      <alignment horizontal="left"/>
    </xf>
    <xf numFmtId="0" fontId="62" fillId="0" borderId="56" xfId="0" applyFont="1" applyBorder="1" applyAlignment="1">
      <alignment horizontal="left"/>
    </xf>
    <xf numFmtId="0" fontId="63" fillId="0" borderId="56" xfId="0" applyFont="1" applyBorder="1"/>
    <xf numFmtId="0" fontId="45" fillId="0" borderId="56" xfId="0" applyFont="1" applyBorder="1"/>
    <xf numFmtId="0" fontId="23" fillId="0" borderId="51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23" fillId="0" borderId="76" xfId="0" applyFont="1" applyBorder="1" applyAlignment="1">
      <alignment vertical="center" wrapText="1"/>
    </xf>
    <xf numFmtId="0" fontId="64" fillId="0" borderId="0" xfId="0" applyFont="1"/>
    <xf numFmtId="2" fontId="47" fillId="0" borderId="3" xfId="0" applyNumberFormat="1" applyFont="1" applyBorder="1" applyAlignment="1">
      <alignment horizontal="left"/>
    </xf>
    <xf numFmtId="1" fontId="47" fillId="0" borderId="4" xfId="0" applyNumberFormat="1" applyFont="1" applyBorder="1" applyAlignment="1">
      <alignment horizontal="left"/>
    </xf>
    <xf numFmtId="2" fontId="47" fillId="0" borderId="1" xfId="0" applyNumberFormat="1" applyFont="1" applyBorder="1" applyAlignment="1">
      <alignment horizontal="left" vertical="center"/>
    </xf>
    <xf numFmtId="2" fontId="47" fillId="0" borderId="3" xfId="0" applyNumberFormat="1" applyFont="1" applyBorder="1" applyAlignment="1">
      <alignment horizontal="left" vertical="center"/>
    </xf>
    <xf numFmtId="2" fontId="47" fillId="0" borderId="2" xfId="0" applyNumberFormat="1" applyFont="1" applyBorder="1" applyAlignment="1">
      <alignment horizontal="left"/>
    </xf>
    <xf numFmtId="1" fontId="47" fillId="0" borderId="2" xfId="0" applyNumberFormat="1" applyFont="1" applyBorder="1" applyAlignment="1">
      <alignment horizontal="left"/>
    </xf>
    <xf numFmtId="2" fontId="47" fillId="0" borderId="4" xfId="0" applyNumberFormat="1" applyFont="1" applyBorder="1" applyAlignment="1">
      <alignment horizontal="left"/>
    </xf>
    <xf numFmtId="2" fontId="47" fillId="0" borderId="5" xfId="0" applyNumberFormat="1" applyFont="1" applyBorder="1" applyAlignment="1">
      <alignment horizontal="left"/>
    </xf>
    <xf numFmtId="1" fontId="47" fillId="0" borderId="4" xfId="0" applyNumberFormat="1" applyFont="1" applyFill="1" applyBorder="1" applyAlignment="1">
      <alignment horizontal="left"/>
    </xf>
    <xf numFmtId="1" fontId="47" fillId="0" borderId="3" xfId="0" applyNumberFormat="1" applyFont="1" applyFill="1" applyBorder="1" applyAlignment="1">
      <alignment horizontal="left"/>
    </xf>
    <xf numFmtId="1" fontId="47" fillId="0" borderId="3" xfId="1" applyNumberFormat="1" applyFont="1" applyBorder="1" applyAlignment="1">
      <alignment horizontal="left"/>
    </xf>
    <xf numFmtId="0" fontId="24" fillId="0" borderId="0" xfId="0" applyFont="1" applyFill="1" applyBorder="1" applyAlignment="1">
      <alignment horizontal="left"/>
    </xf>
    <xf numFmtId="0" fontId="24" fillId="0" borderId="68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1" fontId="19" fillId="0" borderId="58" xfId="0" applyNumberFormat="1" applyFont="1" applyFill="1" applyBorder="1" applyAlignment="1">
      <alignment horizontal="center" vertical="justify" wrapText="1"/>
    </xf>
    <xf numFmtId="1" fontId="19" fillId="0" borderId="55" xfId="0" applyNumberFormat="1" applyFont="1" applyFill="1" applyBorder="1" applyAlignment="1">
      <alignment horizontal="center" vertical="justify" wrapText="1"/>
    </xf>
    <xf numFmtId="1" fontId="19" fillId="0" borderId="58" xfId="0" applyNumberFormat="1" applyFont="1" applyBorder="1" applyAlignment="1">
      <alignment horizontal="center" vertical="justify" wrapText="1"/>
    </xf>
    <xf numFmtId="1" fontId="19" fillId="0" borderId="55" xfId="0" applyNumberFormat="1" applyFont="1" applyBorder="1" applyAlignment="1">
      <alignment horizontal="center" vertical="justify" wrapText="1"/>
    </xf>
    <xf numFmtId="1" fontId="19" fillId="0" borderId="0" xfId="0" applyNumberFormat="1" applyFont="1" applyFill="1" applyBorder="1" applyAlignment="1">
      <alignment horizontal="left"/>
    </xf>
    <xf numFmtId="1" fontId="8" fillId="0" borderId="0" xfId="0" applyNumberFormat="1" applyFont="1" applyBorder="1" applyAlignment="1">
      <alignment horizontal="left"/>
    </xf>
    <xf numFmtId="1" fontId="19" fillId="0" borderId="36" xfId="0" applyNumberFormat="1" applyFont="1" applyBorder="1" applyAlignment="1">
      <alignment horizontal="left" vertical="center"/>
    </xf>
    <xf numFmtId="1" fontId="19" fillId="0" borderId="14" xfId="0" applyNumberFormat="1" applyFont="1" applyBorder="1" applyAlignment="1">
      <alignment horizontal="left" vertical="center"/>
    </xf>
    <xf numFmtId="1" fontId="19" fillId="0" borderId="58" xfId="0" applyNumberFormat="1" applyFont="1" applyBorder="1" applyAlignment="1">
      <alignment horizontal="justify" vertical="justify" wrapText="1"/>
    </xf>
    <xf numFmtId="1" fontId="19" fillId="0" borderId="55" xfId="0" applyNumberFormat="1" applyFont="1" applyBorder="1" applyAlignment="1">
      <alignment horizontal="justify" vertical="justify" wrapText="1"/>
    </xf>
    <xf numFmtId="1" fontId="19" fillId="0" borderId="58" xfId="0" applyNumberFormat="1" applyFont="1" applyBorder="1" applyAlignment="1">
      <alignment horizontal="center" vertical="center" wrapText="1"/>
    </xf>
    <xf numFmtId="1" fontId="19" fillId="0" borderId="55" xfId="0" applyNumberFormat="1" applyFont="1" applyBorder="1" applyAlignment="1">
      <alignment horizontal="center" vertical="center" wrapText="1"/>
    </xf>
    <xf numFmtId="1" fontId="19" fillId="0" borderId="53" xfId="0" applyNumberFormat="1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justify" wrapText="1"/>
    </xf>
    <xf numFmtId="0" fontId="19" fillId="0" borderId="56" xfId="0" applyFont="1" applyBorder="1" applyAlignment="1">
      <alignment horizontal="center" vertical="justify" wrapText="1"/>
    </xf>
    <xf numFmtId="0" fontId="19" fillId="0" borderId="71" xfId="0" applyFont="1" applyBorder="1" applyAlignment="1">
      <alignment horizontal="center" vertical="justify" wrapText="1"/>
    </xf>
    <xf numFmtId="0" fontId="19" fillId="0" borderId="71" xfId="0" applyFont="1" applyFill="1" applyBorder="1" applyAlignment="1">
      <alignment horizontal="center" vertical="justify" wrapText="1"/>
    </xf>
    <xf numFmtId="0" fontId="19" fillId="0" borderId="56" xfId="0" applyFont="1" applyFill="1" applyBorder="1" applyAlignment="1">
      <alignment horizontal="center" vertical="justify" wrapText="1"/>
    </xf>
    <xf numFmtId="0" fontId="45" fillId="0" borderId="0" xfId="0" applyFont="1" applyFill="1" applyBorder="1" applyAlignment="1">
      <alignment horizontal="left"/>
    </xf>
    <xf numFmtId="0" fontId="49" fillId="0" borderId="0" xfId="0" applyFont="1" applyBorder="1" applyAlignment="1">
      <alignment horizontal="left"/>
    </xf>
    <xf numFmtId="0" fontId="65" fillId="0" borderId="42" xfId="0" applyFont="1" applyBorder="1" applyAlignment="1">
      <alignment horizontal="center" vertical="center"/>
    </xf>
    <xf numFmtId="0" fontId="65" fillId="0" borderId="76" xfId="0" applyFont="1" applyBorder="1" applyAlignment="1">
      <alignment horizontal="center" vertical="center"/>
    </xf>
    <xf numFmtId="0" fontId="19" fillId="0" borderId="71" xfId="0" applyFont="1" applyFill="1" applyBorder="1" applyAlignment="1">
      <alignment horizontal="justify" vertical="justify" wrapText="1"/>
    </xf>
    <xf numFmtId="0" fontId="19" fillId="0" borderId="56" xfId="0" applyFont="1" applyFill="1" applyBorder="1" applyAlignment="1">
      <alignment horizontal="justify" vertical="justify" wrapText="1"/>
    </xf>
    <xf numFmtId="1" fontId="26" fillId="0" borderId="58" xfId="0" applyNumberFormat="1" applyFont="1" applyBorder="1" applyAlignment="1">
      <alignment horizontal="justify" vertical="justify" wrapText="1"/>
    </xf>
    <xf numFmtId="1" fontId="26" fillId="0" borderId="53" xfId="0" applyNumberFormat="1" applyFont="1" applyBorder="1" applyAlignment="1">
      <alignment horizontal="justify" vertical="justify" wrapText="1"/>
    </xf>
    <xf numFmtId="1" fontId="26" fillId="0" borderId="55" xfId="0" applyNumberFormat="1" applyFont="1" applyBorder="1" applyAlignment="1">
      <alignment horizontal="justify" vertical="justify" wrapText="1"/>
    </xf>
    <xf numFmtId="1" fontId="26" fillId="0" borderId="58" xfId="0" applyNumberFormat="1" applyFont="1" applyFill="1" applyBorder="1" applyAlignment="1">
      <alignment horizontal="justify" vertical="justify" wrapText="1"/>
    </xf>
    <xf numFmtId="1" fontId="26" fillId="0" borderId="53" xfId="0" applyNumberFormat="1" applyFont="1" applyFill="1" applyBorder="1" applyAlignment="1">
      <alignment horizontal="justify" vertical="justify" wrapText="1"/>
    </xf>
    <xf numFmtId="1" fontId="26" fillId="0" borderId="58" xfId="0" applyNumberFormat="1" applyFont="1" applyFill="1" applyBorder="1" applyAlignment="1">
      <alignment horizontal="center" vertical="justify" wrapText="1"/>
    </xf>
    <xf numFmtId="1" fontId="26" fillId="0" borderId="55" xfId="0" applyNumberFormat="1" applyFont="1" applyFill="1" applyBorder="1" applyAlignment="1">
      <alignment horizontal="center" vertical="justify" wrapText="1"/>
    </xf>
    <xf numFmtId="1" fontId="26" fillId="0" borderId="58" xfId="0" applyNumberFormat="1" applyFont="1" applyBorder="1" applyAlignment="1">
      <alignment horizontal="center" vertical="justify" wrapText="1"/>
    </xf>
    <xf numFmtId="1" fontId="26" fillId="0" borderId="53" xfId="0" applyNumberFormat="1" applyFont="1" applyBorder="1" applyAlignment="1">
      <alignment horizontal="center" vertical="justify" wrapText="1"/>
    </xf>
    <xf numFmtId="1" fontId="26" fillId="0" borderId="53" xfId="0" applyNumberFormat="1" applyFont="1" applyFill="1" applyBorder="1" applyAlignment="1">
      <alignment horizontal="center" vertical="justify" wrapText="1"/>
    </xf>
    <xf numFmtId="1" fontId="26" fillId="0" borderId="55" xfId="0" applyNumberFormat="1" applyFont="1" applyBorder="1" applyAlignment="1">
      <alignment horizontal="center" vertical="justify" wrapText="1"/>
    </xf>
    <xf numFmtId="1" fontId="26" fillId="0" borderId="55" xfId="0" applyNumberFormat="1" applyFont="1" applyFill="1" applyBorder="1" applyAlignment="1">
      <alignment horizontal="justify" vertical="justify" wrapText="1"/>
    </xf>
    <xf numFmtId="1" fontId="26" fillId="0" borderId="71" xfId="0" applyNumberFormat="1" applyFont="1" applyFill="1" applyBorder="1" applyAlignment="1">
      <alignment horizontal="justify" vertical="justify" wrapText="1"/>
    </xf>
    <xf numFmtId="1" fontId="26" fillId="0" borderId="57" xfId="0" applyNumberFormat="1" applyFont="1" applyFill="1" applyBorder="1" applyAlignment="1">
      <alignment horizontal="justify" vertical="justify" wrapText="1"/>
    </xf>
    <xf numFmtId="1" fontId="26" fillId="0" borderId="56" xfId="0" applyNumberFormat="1" applyFont="1" applyFill="1" applyBorder="1" applyAlignment="1">
      <alignment horizontal="justify" vertical="justify" wrapText="1"/>
    </xf>
    <xf numFmtId="1" fontId="45" fillId="0" borderId="0" xfId="0" applyNumberFormat="1" applyFont="1" applyFill="1" applyBorder="1" applyAlignment="1">
      <alignment horizontal="left"/>
    </xf>
    <xf numFmtId="1" fontId="49" fillId="0" borderId="0" xfId="0" applyNumberFormat="1" applyFont="1" applyBorder="1" applyAlignment="1">
      <alignment horizontal="left"/>
    </xf>
    <xf numFmtId="1" fontId="24" fillId="0" borderId="22" xfId="0" applyNumberFormat="1" applyFont="1" applyBorder="1" applyAlignment="1">
      <alignment horizontal="left" vertical="center"/>
    </xf>
    <xf numFmtId="1" fontId="24" fillId="0" borderId="72" xfId="0" applyNumberFormat="1" applyFont="1" applyBorder="1" applyAlignment="1">
      <alignment horizontal="left" vertical="center"/>
    </xf>
    <xf numFmtId="1" fontId="26" fillId="0" borderId="71" xfId="0" applyNumberFormat="1" applyFont="1" applyFill="1" applyBorder="1" applyAlignment="1">
      <alignment horizontal="center" vertical="justify" wrapText="1"/>
    </xf>
    <xf numFmtId="1" fontId="26" fillId="0" borderId="56" xfId="0" applyNumberFormat="1" applyFont="1" applyFill="1" applyBorder="1" applyAlignment="1">
      <alignment horizontal="center" vertical="justify" wrapText="1"/>
    </xf>
    <xf numFmtId="0" fontId="21" fillId="0" borderId="0" xfId="0" applyFont="1" applyBorder="1" applyAlignment="1">
      <alignment horizontal="left"/>
    </xf>
    <xf numFmtId="0" fontId="65" fillId="0" borderId="71" xfId="0" applyFont="1" applyBorder="1" applyAlignment="1">
      <alignment horizontal="center" vertical="center"/>
    </xf>
    <xf numFmtId="0" fontId="65" fillId="0" borderId="79" xfId="0" applyFont="1" applyBorder="1" applyAlignment="1">
      <alignment horizontal="center" vertical="center"/>
    </xf>
    <xf numFmtId="0" fontId="19" fillId="0" borderId="53" xfId="0" applyFont="1" applyBorder="1" applyAlignment="1">
      <alignment horizontal="justify" vertical="justify" wrapText="1"/>
    </xf>
    <xf numFmtId="0" fontId="19" fillId="0" borderId="55" xfId="0" applyFont="1" applyBorder="1" applyAlignment="1">
      <alignment horizontal="justify" vertical="justify" wrapText="1"/>
    </xf>
    <xf numFmtId="1" fontId="19" fillId="0" borderId="53" xfId="0" applyNumberFormat="1" applyFont="1" applyBorder="1" applyAlignment="1">
      <alignment horizontal="justify" vertical="justify" wrapText="1"/>
    </xf>
    <xf numFmtId="0" fontId="19" fillId="0" borderId="58" xfId="0" applyFont="1" applyBorder="1" applyAlignment="1">
      <alignment horizontal="justify" vertical="justify" wrapText="1"/>
    </xf>
    <xf numFmtId="0" fontId="19" fillId="0" borderId="58" xfId="0" applyFont="1" applyBorder="1" applyAlignment="1">
      <alignment horizontal="center" vertical="justify" wrapText="1"/>
    </xf>
    <xf numFmtId="0" fontId="19" fillId="0" borderId="55" xfId="0" applyFont="1" applyBorder="1" applyAlignment="1">
      <alignment horizontal="center" vertical="justify" wrapText="1"/>
    </xf>
    <xf numFmtId="1" fontId="19" fillId="0" borderId="53" xfId="0" applyNumberFormat="1" applyFont="1" applyFill="1" applyBorder="1" applyAlignment="1">
      <alignment horizontal="justify" vertical="justify" wrapText="1"/>
    </xf>
    <xf numFmtId="1" fontId="19" fillId="0" borderId="55" xfId="0" applyNumberFormat="1" applyFont="1" applyFill="1" applyBorder="1" applyAlignment="1">
      <alignment horizontal="justify" vertical="justify" wrapText="1"/>
    </xf>
    <xf numFmtId="0" fontId="19" fillId="0" borderId="53" xfId="0" applyFont="1" applyFill="1" applyBorder="1" applyAlignment="1">
      <alignment horizontal="justify" vertical="justify" wrapText="1"/>
    </xf>
    <xf numFmtId="0" fontId="19" fillId="0" borderId="55" xfId="0" applyFont="1" applyFill="1" applyBorder="1" applyAlignment="1">
      <alignment horizontal="justify" vertical="justify" wrapText="1"/>
    </xf>
    <xf numFmtId="0" fontId="30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8" fillId="0" borderId="42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1" fontId="26" fillId="0" borderId="58" xfId="0" applyNumberFormat="1" applyFont="1" applyBorder="1" applyAlignment="1">
      <alignment horizontal="center" vertical="center" wrapText="1"/>
    </xf>
    <xf numFmtId="1" fontId="26" fillId="0" borderId="55" xfId="0" applyNumberFormat="1" applyFont="1" applyBorder="1" applyAlignment="1">
      <alignment horizontal="center" vertical="center" wrapText="1"/>
    </xf>
    <xf numFmtId="1" fontId="26" fillId="0" borderId="58" xfId="0" applyNumberFormat="1" applyFont="1" applyFill="1" applyBorder="1" applyAlignment="1">
      <alignment horizontal="center" vertical="center" wrapText="1"/>
    </xf>
    <xf numFmtId="1" fontId="26" fillId="0" borderId="55" xfId="0" applyNumberFormat="1" applyFont="1" applyFill="1" applyBorder="1" applyAlignment="1">
      <alignment horizontal="center" vertical="center" wrapText="1"/>
    </xf>
    <xf numFmtId="0" fontId="26" fillId="0" borderId="58" xfId="0" applyFont="1" applyFill="1" applyBorder="1" applyAlignment="1">
      <alignment horizontal="center" vertical="center" wrapText="1"/>
    </xf>
    <xf numFmtId="0" fontId="26" fillId="0" borderId="55" xfId="0" applyFont="1" applyFill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55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/>
    </xf>
    <xf numFmtId="0" fontId="45" fillId="0" borderId="65" xfId="0" applyFont="1" applyBorder="1" applyAlignment="1">
      <alignment horizontal="center"/>
    </xf>
    <xf numFmtId="0" fontId="45" fillId="0" borderId="66" xfId="0" applyFont="1" applyBorder="1" applyAlignment="1">
      <alignment horizontal="center"/>
    </xf>
    <xf numFmtId="0" fontId="66" fillId="0" borderId="7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1" fontId="19" fillId="0" borderId="58" xfId="0" applyNumberFormat="1" applyFont="1" applyFill="1" applyBorder="1" applyAlignment="1">
      <alignment horizontal="center" vertical="center" wrapText="1"/>
    </xf>
    <xf numFmtId="1" fontId="19" fillId="0" borderId="55" xfId="0" applyNumberFormat="1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justify" wrapText="1"/>
    </xf>
    <xf numFmtId="0" fontId="3" fillId="0" borderId="45" xfId="0" applyFont="1" applyBorder="1" applyAlignment="1">
      <alignment horizontal="center" vertical="justify" wrapText="1"/>
    </xf>
    <xf numFmtId="0" fontId="3" fillId="0" borderId="44" xfId="0" applyFont="1" applyBorder="1" applyAlignment="1">
      <alignment horizontal="center" vertical="justify" wrapText="1"/>
    </xf>
    <xf numFmtId="0" fontId="3" fillId="0" borderId="68" xfId="0" applyFont="1" applyFill="1" applyBorder="1" applyAlignment="1">
      <alignment horizontal="center" vertical="justify" wrapText="1"/>
    </xf>
    <xf numFmtId="0" fontId="3" fillId="0" borderId="45" xfId="0" applyFont="1" applyFill="1" applyBorder="1" applyAlignment="1">
      <alignment horizontal="center" vertical="justify" wrapText="1"/>
    </xf>
    <xf numFmtId="0" fontId="3" fillId="0" borderId="68" xfId="0" applyFont="1" applyFill="1" applyBorder="1" applyAlignment="1">
      <alignment horizontal="justify" vertical="justify" wrapText="1"/>
    </xf>
    <xf numFmtId="0" fontId="3" fillId="0" borderId="44" xfId="0" applyFont="1" applyFill="1" applyBorder="1" applyAlignment="1">
      <alignment horizontal="justify" vertical="justify" wrapText="1"/>
    </xf>
    <xf numFmtId="0" fontId="19" fillId="0" borderId="0" xfId="0" applyFont="1" applyFill="1" applyBorder="1" applyAlignment="1">
      <alignment horizontal="justify" vertical="justify" wrapText="1"/>
    </xf>
    <xf numFmtId="0" fontId="19" fillId="0" borderId="42" xfId="0" applyFont="1" applyBorder="1" applyAlignment="1">
      <alignment horizontal="left" vertical="center"/>
    </xf>
    <xf numFmtId="0" fontId="19" fillId="0" borderId="76" xfId="0" applyFont="1" applyBorder="1" applyAlignment="1">
      <alignment horizontal="left" vertical="center"/>
    </xf>
    <xf numFmtId="0" fontId="3" fillId="0" borderId="44" xfId="0" applyFont="1" applyFill="1" applyBorder="1" applyAlignment="1">
      <alignment horizontal="center" vertical="justify" wrapText="1"/>
    </xf>
    <xf numFmtId="0" fontId="26" fillId="0" borderId="68" xfId="0" applyFont="1" applyBorder="1" applyAlignment="1">
      <alignment horizontal="center" vertical="justify" wrapText="1"/>
    </xf>
    <xf numFmtId="0" fontId="26" fillId="0" borderId="45" xfId="0" applyFont="1" applyBorder="1" applyAlignment="1">
      <alignment horizontal="center" vertical="justify" wrapText="1"/>
    </xf>
    <xf numFmtId="1" fontId="26" fillId="0" borderId="68" xfId="0" applyNumberFormat="1" applyFont="1" applyBorder="1" applyAlignment="1">
      <alignment horizontal="center" vertical="justify" wrapText="1"/>
    </xf>
    <xf numFmtId="1" fontId="26" fillId="0" borderId="45" xfId="0" applyNumberFormat="1" applyFont="1" applyBorder="1" applyAlignment="1">
      <alignment horizontal="center" vertical="justify" wrapText="1"/>
    </xf>
    <xf numFmtId="0" fontId="26" fillId="0" borderId="68" xfId="0" applyFont="1" applyFill="1" applyBorder="1" applyAlignment="1">
      <alignment horizontal="center" vertical="justify" wrapText="1"/>
    </xf>
    <xf numFmtId="0" fontId="26" fillId="0" borderId="45" xfId="0" applyFont="1" applyFill="1" applyBorder="1" applyAlignment="1">
      <alignment horizontal="center" vertical="justify" wrapText="1"/>
    </xf>
    <xf numFmtId="0" fontId="26" fillId="0" borderId="68" xfId="0" applyFont="1" applyFill="1" applyBorder="1" applyAlignment="1">
      <alignment horizontal="justify" vertical="justify" wrapText="1"/>
    </xf>
    <xf numFmtId="0" fontId="26" fillId="0" borderId="45" xfId="0" applyFont="1" applyFill="1" applyBorder="1" applyAlignment="1">
      <alignment horizontal="justify" vertical="justify" wrapText="1"/>
    </xf>
    <xf numFmtId="0" fontId="1" fillId="0" borderId="6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justify" wrapText="1"/>
    </xf>
    <xf numFmtId="0" fontId="19" fillId="0" borderId="55" xfId="0" applyFont="1" applyFill="1" applyBorder="1" applyAlignment="1">
      <alignment horizontal="center" vertical="justify" wrapText="1"/>
    </xf>
    <xf numFmtId="0" fontId="19" fillId="0" borderId="53" xfId="0" applyFont="1" applyBorder="1" applyAlignment="1">
      <alignment horizontal="center" vertical="justify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68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</cellXfs>
  <cellStyles count="3">
    <cellStyle name="Comma" xfId="1" builtinId="3"/>
    <cellStyle name="Comma 18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BC60"/>
  <sheetViews>
    <sheetView tabSelected="1" workbookViewId="0">
      <pane xSplit="1" topLeftCell="B1" activePane="topRight" state="frozen"/>
      <selection pane="topRight" activeCell="E8" sqref="E8"/>
    </sheetView>
  </sheetViews>
  <sheetFormatPr defaultRowHeight="16.5" x14ac:dyDescent="0.3"/>
  <cols>
    <col min="1" max="1" width="65" style="95" bestFit="1" customWidth="1"/>
    <col min="2" max="2" width="3.85546875" style="95" customWidth="1"/>
    <col min="3" max="3" width="14.28515625" style="95" bestFit="1" customWidth="1"/>
    <col min="4" max="4" width="13.85546875" style="95" bestFit="1" customWidth="1"/>
    <col min="5" max="5" width="13.85546875" style="95" customWidth="1"/>
    <col min="6" max="6" width="13.85546875" style="95" bestFit="1" customWidth="1"/>
    <col min="7" max="8" width="12.42578125" style="95" bestFit="1" customWidth="1"/>
    <col min="9" max="9" width="15.85546875" style="95" customWidth="1"/>
    <col min="10" max="11" width="12.42578125" style="95" bestFit="1" customWidth="1"/>
    <col min="12" max="12" width="13.5703125" style="95" bestFit="1" customWidth="1"/>
    <col min="13" max="13" width="18.28515625" style="95" bestFit="1" customWidth="1"/>
    <col min="14" max="14" width="18.28515625" style="401" bestFit="1" customWidth="1"/>
    <col min="15" max="15" width="13.85546875" style="401" bestFit="1" customWidth="1"/>
    <col min="16" max="17" width="13.85546875" style="95" customWidth="1"/>
    <col min="18" max="18" width="12.85546875" style="95" bestFit="1" customWidth="1"/>
    <col min="19" max="19" width="12.42578125" style="95" bestFit="1" customWidth="1"/>
    <col min="20" max="20" width="13.85546875" style="95" bestFit="1" customWidth="1"/>
    <col min="21" max="21" width="13.85546875" style="95" customWidth="1"/>
    <col min="22" max="22" width="13.85546875" style="95" bestFit="1" customWidth="1"/>
    <col min="23" max="23" width="12.42578125" style="95" bestFit="1" customWidth="1"/>
    <col min="24" max="27" width="13.85546875" style="95" bestFit="1" customWidth="1"/>
    <col min="28" max="29" width="12.42578125" style="95" bestFit="1" customWidth="1"/>
    <col min="30" max="30" width="13.85546875" style="95" bestFit="1" customWidth="1"/>
    <col min="31" max="31" width="13.140625" style="95" bestFit="1" customWidth="1"/>
    <col min="32" max="32" width="13.85546875" style="95" bestFit="1" customWidth="1"/>
    <col min="33" max="33" width="12.42578125" style="95" bestFit="1" customWidth="1"/>
    <col min="34" max="35" width="13.85546875" style="95" bestFit="1" customWidth="1"/>
    <col min="36" max="37" width="13.140625" style="95" bestFit="1" customWidth="1"/>
    <col min="38" max="39" width="13.85546875" style="95" customWidth="1"/>
    <col min="40" max="40" width="12.42578125" style="95" bestFit="1" customWidth="1"/>
    <col min="41" max="42" width="13.85546875" style="95" bestFit="1" customWidth="1"/>
    <col min="43" max="44" width="12.42578125" style="95" bestFit="1" customWidth="1"/>
    <col min="45" max="46" width="13.85546875" style="95" bestFit="1" customWidth="1"/>
    <col min="47" max="47" width="12.42578125" style="95" bestFit="1" customWidth="1"/>
    <col min="48" max="48" width="13.85546875" style="95" bestFit="1" customWidth="1"/>
    <col min="49" max="50" width="12.85546875" style="95" bestFit="1" customWidth="1"/>
    <col min="51" max="52" width="13.42578125" style="95" bestFit="1" customWidth="1"/>
    <col min="53" max="53" width="13.7109375" style="95" bestFit="1" customWidth="1"/>
    <col min="54" max="54" width="12.42578125" style="95" bestFit="1" customWidth="1"/>
    <col min="55" max="55" width="9.5703125" style="95" bestFit="1" customWidth="1"/>
    <col min="56" max="16384" width="9.140625" style="95"/>
  </cols>
  <sheetData>
    <row r="1" spans="1:55" s="412" customFormat="1" ht="17.25" thickBot="1" x14ac:dyDescent="0.4">
      <c r="A1" s="1307" t="s">
        <v>434</v>
      </c>
      <c r="B1" s="1307"/>
      <c r="C1" s="1307"/>
      <c r="D1" s="1307"/>
      <c r="E1" s="1307"/>
      <c r="F1" s="1307"/>
      <c r="G1" s="1307"/>
      <c r="H1" s="1307"/>
      <c r="I1" s="1307"/>
      <c r="J1" s="1307"/>
      <c r="K1" s="1307"/>
      <c r="L1" s="1307"/>
      <c r="M1" s="1307"/>
      <c r="N1" s="1307"/>
      <c r="O1" s="1307"/>
      <c r="P1" s="1307"/>
      <c r="Q1" s="1307"/>
      <c r="R1" s="1307"/>
      <c r="S1" s="1307"/>
      <c r="T1" s="1307"/>
      <c r="U1" s="1307"/>
      <c r="V1" s="1307"/>
      <c r="W1" s="1307"/>
      <c r="X1" s="1307"/>
      <c r="Y1" s="1307"/>
      <c r="Z1" s="1307"/>
      <c r="AA1" s="1307"/>
      <c r="AB1" s="1307"/>
      <c r="AC1" s="1307"/>
      <c r="AD1" s="1307"/>
      <c r="AE1" s="1307"/>
      <c r="AF1" s="1307"/>
      <c r="AG1" s="1307"/>
      <c r="AH1" s="1307"/>
      <c r="AI1" s="1307"/>
      <c r="AJ1" s="1307"/>
      <c r="AK1" s="1307"/>
      <c r="AL1" s="1307"/>
      <c r="AM1" s="1307"/>
      <c r="AN1" s="1307"/>
      <c r="AO1" s="1307"/>
      <c r="AP1" s="1307"/>
      <c r="AQ1" s="1307"/>
      <c r="AR1" s="1307"/>
      <c r="AS1" s="1307"/>
      <c r="AT1" s="1307"/>
      <c r="AU1" s="1307"/>
      <c r="AV1" s="1307"/>
      <c r="AW1" s="1307"/>
      <c r="AX1" s="1307"/>
      <c r="AY1" s="1307"/>
      <c r="AZ1" s="1307"/>
      <c r="BA1" s="1307"/>
      <c r="BB1" s="1307"/>
    </row>
    <row r="2" spans="1:55" ht="69" customHeight="1" thickBot="1" x14ac:dyDescent="0.35">
      <c r="A2" s="1308" t="s">
        <v>0</v>
      </c>
      <c r="B2" s="601"/>
      <c r="C2" s="882" t="s">
        <v>158</v>
      </c>
      <c r="D2" s="884" t="s">
        <v>158</v>
      </c>
      <c r="E2" s="872" t="s">
        <v>159</v>
      </c>
      <c r="F2" s="898" t="s">
        <v>159</v>
      </c>
      <c r="G2" s="872" t="s">
        <v>160</v>
      </c>
      <c r="H2" s="898" t="s">
        <v>160</v>
      </c>
      <c r="I2" s="872" t="s">
        <v>161</v>
      </c>
      <c r="J2" s="898" t="s">
        <v>161</v>
      </c>
      <c r="K2" s="872" t="s">
        <v>162</v>
      </c>
      <c r="L2" s="898" t="s">
        <v>162</v>
      </c>
      <c r="M2" s="872" t="s">
        <v>163</v>
      </c>
      <c r="N2" s="898" t="s">
        <v>163</v>
      </c>
      <c r="O2" s="872" t="s">
        <v>312</v>
      </c>
      <c r="P2" s="898" t="s">
        <v>312</v>
      </c>
      <c r="Q2" s="872" t="s">
        <v>164</v>
      </c>
      <c r="R2" s="898" t="s">
        <v>164</v>
      </c>
      <c r="S2" s="872" t="s">
        <v>165</v>
      </c>
      <c r="T2" s="898" t="s">
        <v>165</v>
      </c>
      <c r="U2" s="872" t="s">
        <v>166</v>
      </c>
      <c r="V2" s="898" t="s">
        <v>166</v>
      </c>
      <c r="W2" s="872" t="s">
        <v>167</v>
      </c>
      <c r="X2" s="898" t="s">
        <v>167</v>
      </c>
      <c r="Y2" s="872" t="s">
        <v>168</v>
      </c>
      <c r="Z2" s="898" t="s">
        <v>168</v>
      </c>
      <c r="AA2" s="872" t="s">
        <v>383</v>
      </c>
      <c r="AB2" s="898" t="s">
        <v>383</v>
      </c>
      <c r="AC2" s="872" t="s">
        <v>169</v>
      </c>
      <c r="AD2" s="898" t="s">
        <v>169</v>
      </c>
      <c r="AE2" s="872" t="s">
        <v>170</v>
      </c>
      <c r="AF2" s="898" t="s">
        <v>170</v>
      </c>
      <c r="AG2" s="872" t="s">
        <v>171</v>
      </c>
      <c r="AH2" s="898" t="s">
        <v>171</v>
      </c>
      <c r="AI2" s="872" t="s">
        <v>172</v>
      </c>
      <c r="AJ2" s="898" t="s">
        <v>172</v>
      </c>
      <c r="AK2" s="872" t="s">
        <v>173</v>
      </c>
      <c r="AL2" s="898" t="s">
        <v>173</v>
      </c>
      <c r="AM2" s="872" t="s">
        <v>174</v>
      </c>
      <c r="AN2" s="898" t="s">
        <v>174</v>
      </c>
      <c r="AO2" s="872" t="s">
        <v>175</v>
      </c>
      <c r="AP2" s="898" t="s">
        <v>175</v>
      </c>
      <c r="AQ2" s="872" t="s">
        <v>176</v>
      </c>
      <c r="AR2" s="898" t="s">
        <v>176</v>
      </c>
      <c r="AS2" s="872" t="s">
        <v>177</v>
      </c>
      <c r="AT2" s="873" t="s">
        <v>177</v>
      </c>
      <c r="AU2" s="872" t="s">
        <v>178</v>
      </c>
      <c r="AV2" s="898" t="s">
        <v>178</v>
      </c>
      <c r="AW2" s="872" t="s">
        <v>1</v>
      </c>
      <c r="AX2" s="898" t="s">
        <v>1</v>
      </c>
      <c r="AY2" s="872" t="s">
        <v>179</v>
      </c>
      <c r="AZ2" s="898" t="s">
        <v>179</v>
      </c>
      <c r="BA2" s="872" t="s">
        <v>2</v>
      </c>
      <c r="BB2" s="873" t="s">
        <v>2</v>
      </c>
    </row>
    <row r="3" spans="1:55" s="452" customFormat="1" ht="15" customHeight="1" thickBot="1" x14ac:dyDescent="0.35">
      <c r="A3" s="1309"/>
      <c r="B3" s="604"/>
      <c r="C3" s="876" t="s">
        <v>380</v>
      </c>
      <c r="D3" s="885" t="s">
        <v>423</v>
      </c>
      <c r="E3" s="876" t="s">
        <v>380</v>
      </c>
      <c r="F3" s="885" t="s">
        <v>423</v>
      </c>
      <c r="G3" s="876" t="s">
        <v>380</v>
      </c>
      <c r="H3" s="885" t="s">
        <v>423</v>
      </c>
      <c r="I3" s="876" t="s">
        <v>380</v>
      </c>
      <c r="J3" s="885" t="s">
        <v>423</v>
      </c>
      <c r="K3" s="876" t="s">
        <v>380</v>
      </c>
      <c r="L3" s="885" t="s">
        <v>423</v>
      </c>
      <c r="M3" s="876" t="s">
        <v>380</v>
      </c>
      <c r="N3" s="885" t="s">
        <v>423</v>
      </c>
      <c r="O3" s="876" t="s">
        <v>380</v>
      </c>
      <c r="P3" s="885" t="s">
        <v>423</v>
      </c>
      <c r="Q3" s="876" t="s">
        <v>380</v>
      </c>
      <c r="R3" s="885" t="s">
        <v>423</v>
      </c>
      <c r="S3" s="876" t="s">
        <v>380</v>
      </c>
      <c r="T3" s="885" t="s">
        <v>423</v>
      </c>
      <c r="U3" s="876" t="s">
        <v>380</v>
      </c>
      <c r="V3" s="885" t="s">
        <v>423</v>
      </c>
      <c r="W3" s="876" t="s">
        <v>380</v>
      </c>
      <c r="X3" s="885" t="s">
        <v>423</v>
      </c>
      <c r="Y3" s="876" t="s">
        <v>380</v>
      </c>
      <c r="Z3" s="885" t="s">
        <v>423</v>
      </c>
      <c r="AA3" s="876" t="s">
        <v>380</v>
      </c>
      <c r="AB3" s="885" t="s">
        <v>423</v>
      </c>
      <c r="AC3" s="876" t="s">
        <v>380</v>
      </c>
      <c r="AD3" s="885" t="s">
        <v>423</v>
      </c>
      <c r="AE3" s="876" t="s">
        <v>380</v>
      </c>
      <c r="AF3" s="885" t="s">
        <v>423</v>
      </c>
      <c r="AG3" s="876" t="s">
        <v>380</v>
      </c>
      <c r="AH3" s="885" t="s">
        <v>423</v>
      </c>
      <c r="AI3" s="876" t="s">
        <v>380</v>
      </c>
      <c r="AJ3" s="885" t="s">
        <v>423</v>
      </c>
      <c r="AK3" s="876" t="s">
        <v>380</v>
      </c>
      <c r="AL3" s="885" t="s">
        <v>423</v>
      </c>
      <c r="AM3" s="876" t="s">
        <v>380</v>
      </c>
      <c r="AN3" s="885" t="s">
        <v>423</v>
      </c>
      <c r="AO3" s="876" t="s">
        <v>380</v>
      </c>
      <c r="AP3" s="885" t="s">
        <v>423</v>
      </c>
      <c r="AQ3" s="876" t="s">
        <v>380</v>
      </c>
      <c r="AR3" s="885" t="s">
        <v>423</v>
      </c>
      <c r="AS3" s="876" t="s">
        <v>380</v>
      </c>
      <c r="AT3" s="885" t="s">
        <v>423</v>
      </c>
      <c r="AU3" s="876" t="s">
        <v>380</v>
      </c>
      <c r="AV3" s="885" t="s">
        <v>423</v>
      </c>
      <c r="AW3" s="876" t="s">
        <v>380</v>
      </c>
      <c r="AX3" s="885" t="s">
        <v>423</v>
      </c>
      <c r="AY3" s="876" t="s">
        <v>380</v>
      </c>
      <c r="AZ3" s="885" t="s">
        <v>423</v>
      </c>
      <c r="BA3" s="876" t="s">
        <v>380</v>
      </c>
      <c r="BB3" s="885" t="s">
        <v>423</v>
      </c>
    </row>
    <row r="4" spans="1:55" ht="15" customHeight="1" x14ac:dyDescent="0.3">
      <c r="A4" s="415" t="s">
        <v>21</v>
      </c>
      <c r="B4" s="416"/>
      <c r="C4" s="883"/>
      <c r="D4" s="886"/>
      <c r="E4" s="899"/>
      <c r="F4" s="900"/>
      <c r="G4" s="874"/>
      <c r="H4" s="900"/>
      <c r="I4" s="874"/>
      <c r="J4" s="900"/>
      <c r="K4" s="874"/>
      <c r="L4" s="900"/>
      <c r="M4" s="874"/>
      <c r="N4" s="831"/>
      <c r="O4" s="832"/>
      <c r="P4" s="900"/>
      <c r="Q4" s="874"/>
      <c r="R4" s="900"/>
      <c r="S4" s="874"/>
      <c r="T4" s="900"/>
      <c r="U4" s="874"/>
      <c r="V4" s="900"/>
      <c r="W4" s="874"/>
      <c r="X4" s="900"/>
      <c r="Y4" s="874"/>
      <c r="Z4" s="900"/>
      <c r="AA4" s="874"/>
      <c r="AB4" s="900"/>
      <c r="AC4" s="874"/>
      <c r="AD4" s="900"/>
      <c r="AE4" s="874"/>
      <c r="AF4" s="900"/>
      <c r="AG4" s="874"/>
      <c r="AH4" s="900"/>
      <c r="AI4" s="874"/>
      <c r="AJ4" s="900"/>
      <c r="AK4" s="874"/>
      <c r="AL4" s="900"/>
      <c r="AM4" s="874"/>
      <c r="AN4" s="900"/>
      <c r="AO4" s="874"/>
      <c r="AP4" s="900"/>
      <c r="AQ4" s="874"/>
      <c r="AR4" s="900"/>
      <c r="AS4" s="874"/>
      <c r="AT4" s="875"/>
      <c r="AU4" s="874"/>
      <c r="AV4" s="900"/>
      <c r="AW4" s="874"/>
      <c r="AX4" s="900"/>
      <c r="AY4" s="874"/>
      <c r="AZ4" s="900"/>
      <c r="BA4" s="874">
        <f>AW4+AY4</f>
        <v>0</v>
      </c>
      <c r="BB4" s="875">
        <f>AX4+AZ4</f>
        <v>0</v>
      </c>
    </row>
    <row r="5" spans="1:55" ht="17.25" x14ac:dyDescent="0.35">
      <c r="A5" s="365" t="s">
        <v>22</v>
      </c>
      <c r="B5" s="414" t="s">
        <v>228</v>
      </c>
      <c r="C5" s="878">
        <v>977522.42</v>
      </c>
      <c r="D5" s="887">
        <v>1214023</v>
      </c>
      <c r="E5" s="891">
        <v>52607.16</v>
      </c>
      <c r="F5" s="893">
        <v>41646</v>
      </c>
      <c r="G5" s="867">
        <v>116525.5</v>
      </c>
      <c r="H5" s="893">
        <v>126814</v>
      </c>
      <c r="I5" s="867">
        <v>1202484.1399999999</v>
      </c>
      <c r="J5" s="893">
        <v>1612705</v>
      </c>
      <c r="K5" s="867">
        <v>228082.16</v>
      </c>
      <c r="L5" s="893">
        <v>260156</v>
      </c>
      <c r="M5" s="867">
        <v>511602.97</v>
      </c>
      <c r="N5" s="901">
        <v>588993</v>
      </c>
      <c r="O5" s="903">
        <v>99360.05</v>
      </c>
      <c r="P5" s="893">
        <v>109879</v>
      </c>
      <c r="Q5" s="867">
        <v>124823.84</v>
      </c>
      <c r="R5" s="905">
        <v>146420</v>
      </c>
      <c r="S5" s="908">
        <v>332474.95</v>
      </c>
      <c r="T5" s="893">
        <v>376796</v>
      </c>
      <c r="U5" s="867">
        <v>132219.44</v>
      </c>
      <c r="V5" s="893">
        <v>143354</v>
      </c>
      <c r="W5" s="867">
        <v>3858349.33</v>
      </c>
      <c r="X5" s="893">
        <v>4596283</v>
      </c>
      <c r="Y5" s="867">
        <v>3573282.45</v>
      </c>
      <c r="Z5" s="893">
        <v>3745800</v>
      </c>
      <c r="AA5" s="867">
        <v>195863.74</v>
      </c>
      <c r="AB5" s="910">
        <v>220733</v>
      </c>
      <c r="AC5" s="914">
        <v>405550.22</v>
      </c>
      <c r="AD5" s="893">
        <v>518656</v>
      </c>
      <c r="AE5" s="867">
        <v>1110022.1100000001</v>
      </c>
      <c r="AF5" s="893">
        <v>1301511</v>
      </c>
      <c r="AG5" s="867">
        <v>1901789.68</v>
      </c>
      <c r="AH5" s="893">
        <v>2241417</v>
      </c>
      <c r="AI5" s="867">
        <v>603282</v>
      </c>
      <c r="AJ5" s="893">
        <v>734826</v>
      </c>
      <c r="AK5" s="867">
        <v>473645.06</v>
      </c>
      <c r="AL5" s="893">
        <v>503657</v>
      </c>
      <c r="AM5" s="867"/>
      <c r="AN5" s="920"/>
      <c r="AO5" s="922">
        <v>5025416.8099999996</v>
      </c>
      <c r="AP5" s="924">
        <v>5875964</v>
      </c>
      <c r="AQ5" s="928">
        <v>201853.32</v>
      </c>
      <c r="AR5" s="931">
        <v>234960</v>
      </c>
      <c r="AS5" s="870">
        <v>299862.03000000003</v>
      </c>
      <c r="AT5" s="1058">
        <v>413680</v>
      </c>
      <c r="AU5" s="916">
        <v>1110508.57</v>
      </c>
      <c r="AV5" s="893">
        <v>1444503</v>
      </c>
      <c r="AW5" s="867">
        <f>SUM(C5+E5+G5+I5+K5+M5+O5+Q5+S5+U5+W5+Y5+AA5+AC5+AE5+AG5+AI5+AK5+AM5+AO5+AQ5+AS5+AU5)</f>
        <v>22537127.950000003</v>
      </c>
      <c r="AX5" s="893">
        <f>SUM(D5+F5+H5+J5+L5+N5+P5+R5+T5+V5+X5+Z5+AB5+AD5+AF5+AH5+AJ5+AL5+AN5+AP5+AR5+AT5+AV5)</f>
        <v>26452776</v>
      </c>
      <c r="AY5" s="869">
        <v>40328655.479999997</v>
      </c>
      <c r="AZ5" s="912">
        <v>42802497</v>
      </c>
      <c r="BA5" s="865">
        <f t="shared" ref="BA5:BA60" si="0">AW5+AY5</f>
        <v>62865783.43</v>
      </c>
      <c r="BB5" s="866">
        <f t="shared" ref="BB5:BB60" si="1">AX5+AZ5</f>
        <v>69255273</v>
      </c>
      <c r="BC5" s="417"/>
    </row>
    <row r="6" spans="1:55" ht="17.25" x14ac:dyDescent="0.35">
      <c r="A6" s="365" t="s">
        <v>229</v>
      </c>
      <c r="B6" s="418"/>
      <c r="C6" s="877">
        <v>-29294.43</v>
      </c>
      <c r="D6" s="887">
        <v>-49878</v>
      </c>
      <c r="E6" s="891">
        <v>-7142.11</v>
      </c>
      <c r="F6" s="893">
        <v>-7655</v>
      </c>
      <c r="G6" s="867">
        <v>-6512.36</v>
      </c>
      <c r="H6" s="893">
        <v>-7020</v>
      </c>
      <c r="I6" s="867">
        <v>-9882.4699999999993</v>
      </c>
      <c r="J6" s="893">
        <v>-20215</v>
      </c>
      <c r="K6" s="867">
        <v>-3245.15</v>
      </c>
      <c r="L6" s="893">
        <v>-4034</v>
      </c>
      <c r="M6" s="867">
        <v>-8961.6299999999992</v>
      </c>
      <c r="N6" s="901">
        <v>-6586</v>
      </c>
      <c r="O6" s="903">
        <v>-5859.65</v>
      </c>
      <c r="P6" s="893">
        <v>-4599</v>
      </c>
      <c r="Q6" s="867">
        <v>-3583.28</v>
      </c>
      <c r="R6" s="199">
        <v>-3317</v>
      </c>
      <c r="S6" s="1">
        <v>-7576.69</v>
      </c>
      <c r="T6" s="893">
        <v>-15233</v>
      </c>
      <c r="U6" s="867">
        <v>-4584.92</v>
      </c>
      <c r="V6" s="893">
        <v>-5727</v>
      </c>
      <c r="W6" s="867">
        <v>-46119.519999999997</v>
      </c>
      <c r="X6" s="893">
        <v>-56637</v>
      </c>
      <c r="Y6" s="867">
        <v>-75951.08</v>
      </c>
      <c r="Z6" s="893">
        <v>-113679</v>
      </c>
      <c r="AA6" s="867">
        <v>-1725.39</v>
      </c>
      <c r="AB6" s="910">
        <v>-2202</v>
      </c>
      <c r="AC6" s="914">
        <v>-15456.16</v>
      </c>
      <c r="AD6" s="893">
        <v>-20135</v>
      </c>
      <c r="AE6" s="867">
        <v>-19871.509999999998</v>
      </c>
      <c r="AF6" s="893">
        <v>-23748</v>
      </c>
      <c r="AG6" s="867">
        <v>-27886.62</v>
      </c>
      <c r="AH6" s="893">
        <v>-42719</v>
      </c>
      <c r="AI6" s="867">
        <v>-21920</v>
      </c>
      <c r="AJ6" s="893">
        <v>-38779</v>
      </c>
      <c r="AK6" s="867">
        <v>-2435.41</v>
      </c>
      <c r="AL6" s="893">
        <v>-3684</v>
      </c>
      <c r="AM6" s="867"/>
      <c r="AN6" s="920"/>
      <c r="AO6" s="922">
        <v>-48588.91</v>
      </c>
      <c r="AP6" s="924">
        <v>-32735</v>
      </c>
      <c r="AQ6" s="928">
        <v>-542.30999999999995</v>
      </c>
      <c r="AR6" s="931">
        <v>-945</v>
      </c>
      <c r="AS6" s="870">
        <v>-11169.42</v>
      </c>
      <c r="AT6" s="1058">
        <v>-22062</v>
      </c>
      <c r="AU6" s="916">
        <v>-32583.040000000001</v>
      </c>
      <c r="AV6" s="893">
        <v>-37428</v>
      </c>
      <c r="AW6" s="867">
        <f>SUM(C6+E6+G6+I6+K6+M6+O6+Q6+S6+U6+W6+Y6+AA6+AC6+AE6+AG6+AI6+AK6+AM6+AO6+AQ6+AS6+AU6)</f>
        <v>-390892.06</v>
      </c>
      <c r="AX6" s="893">
        <f>SUM(D6+F6+H6+J6+L6+N6+P6+R6+T6+V6+X6+Z6+AB6+AD6+AF6+AH6+AJ6+AL6+AN6+AP6+AR6+AT6+AV6)</f>
        <v>-519017</v>
      </c>
      <c r="AY6" s="869">
        <v>-44221.05</v>
      </c>
      <c r="AZ6" s="912">
        <v>-60575</v>
      </c>
      <c r="BA6" s="865">
        <f t="shared" si="0"/>
        <v>-435113.11</v>
      </c>
      <c r="BB6" s="866">
        <f t="shared" si="1"/>
        <v>-579592</v>
      </c>
    </row>
    <row r="7" spans="1:55" ht="17.25" x14ac:dyDescent="0.35">
      <c r="A7" s="365" t="s">
        <v>230</v>
      </c>
      <c r="B7" s="418"/>
      <c r="C7" s="877"/>
      <c r="D7" s="887"/>
      <c r="E7" s="891"/>
      <c r="F7" s="893"/>
      <c r="G7" s="867"/>
      <c r="H7" s="893"/>
      <c r="I7" s="867"/>
      <c r="J7" s="893"/>
      <c r="K7" s="867"/>
      <c r="L7" s="893"/>
      <c r="M7" s="867"/>
      <c r="N7" s="901"/>
      <c r="O7" s="903"/>
      <c r="P7" s="893"/>
      <c r="Q7" s="867"/>
      <c r="R7" s="199"/>
      <c r="S7" s="1"/>
      <c r="T7" s="893"/>
      <c r="U7" s="867"/>
      <c r="V7" s="893"/>
      <c r="W7" s="867"/>
      <c r="X7" s="893"/>
      <c r="Y7" s="867">
        <v>5.84</v>
      </c>
      <c r="Z7" s="893">
        <v>6</v>
      </c>
      <c r="AA7" s="867"/>
      <c r="AB7" s="910"/>
      <c r="AC7" s="914"/>
      <c r="AD7" s="893"/>
      <c r="AE7" s="867"/>
      <c r="AF7" s="893"/>
      <c r="AG7" s="867"/>
      <c r="AH7" s="893"/>
      <c r="AI7" s="867"/>
      <c r="AJ7" s="893"/>
      <c r="AK7" s="867"/>
      <c r="AL7" s="893"/>
      <c r="AM7" s="867"/>
      <c r="AN7" s="920"/>
      <c r="AO7" s="922"/>
      <c r="AP7" s="925"/>
      <c r="AQ7" s="877"/>
      <c r="AR7" s="931"/>
      <c r="AS7" s="870"/>
      <c r="AT7" s="1058"/>
      <c r="AU7" s="916"/>
      <c r="AV7" s="893"/>
      <c r="AW7" s="867">
        <f t="shared" ref="AW7:AW60" si="2">SUM(C7+E7+G7+I7+K7+M7+O7+Q7+S7+U7+W7+Y7+AA7+AC7+AE7+AG7+AI7+AK7+AM7+AO7+AQ7+AS7+AU7)</f>
        <v>5.84</v>
      </c>
      <c r="AX7" s="893">
        <f t="shared" ref="AX7:AX60" si="3">SUM(D7+F7+H7+J7+L7+N7+P7+R7+T7+V7+X7+Z7+AB7+AD7+AF7+AH7+AJ7+AL7+AN7+AP7+AR7+AT7+AV7)</f>
        <v>6</v>
      </c>
      <c r="AY7" s="869"/>
      <c r="AZ7" s="912"/>
      <c r="BA7" s="865">
        <f t="shared" si="0"/>
        <v>5.84</v>
      </c>
      <c r="BB7" s="866">
        <f t="shared" si="1"/>
        <v>6</v>
      </c>
    </row>
    <row r="8" spans="1:55" s="828" customFormat="1" ht="18" x14ac:dyDescent="0.35">
      <c r="A8" s="414" t="s">
        <v>231</v>
      </c>
      <c r="B8" s="827"/>
      <c r="C8" s="879">
        <f>SUM(C5:C7)</f>
        <v>948227.99</v>
      </c>
      <c r="D8" s="888">
        <f>SUM(D5:D7)</f>
        <v>1164145</v>
      </c>
      <c r="E8" s="868">
        <f>SUM(E5:E7)</f>
        <v>45465.05</v>
      </c>
      <c r="F8" s="888">
        <f t="shared" ref="F8:AZ8" si="4">SUM(F5:F7)</f>
        <v>33991</v>
      </c>
      <c r="G8" s="868">
        <f>SUM(G5:G7)</f>
        <v>110013.14</v>
      </c>
      <c r="H8" s="888">
        <f t="shared" si="4"/>
        <v>119794</v>
      </c>
      <c r="I8" s="868">
        <f>SUM(I5:I7)</f>
        <v>1192601.67</v>
      </c>
      <c r="J8" s="888">
        <f t="shared" si="4"/>
        <v>1592490</v>
      </c>
      <c r="K8" s="868">
        <f>SUM(K5:K7)</f>
        <v>224837.01</v>
      </c>
      <c r="L8" s="888">
        <f t="shared" si="4"/>
        <v>256122</v>
      </c>
      <c r="M8" s="868">
        <f>SUM(M5:M7)</f>
        <v>502641.33999999997</v>
      </c>
      <c r="N8" s="888">
        <f t="shared" si="4"/>
        <v>582407</v>
      </c>
      <c r="O8" s="868">
        <f>SUM(O5:O7)</f>
        <v>93500.400000000009</v>
      </c>
      <c r="P8" s="888">
        <f t="shared" si="4"/>
        <v>105280</v>
      </c>
      <c r="Q8" s="868">
        <f>SUM(Q5:Q7)</f>
        <v>121240.56</v>
      </c>
      <c r="R8" s="888">
        <f t="shared" si="4"/>
        <v>143103</v>
      </c>
      <c r="S8" s="868">
        <f>SUM(S5:S7)</f>
        <v>324898.26</v>
      </c>
      <c r="T8" s="888">
        <f t="shared" si="4"/>
        <v>361563</v>
      </c>
      <c r="U8" s="868">
        <f>SUM(U5:U7)</f>
        <v>127634.52</v>
      </c>
      <c r="V8" s="888">
        <f t="shared" si="4"/>
        <v>137627</v>
      </c>
      <c r="W8" s="868">
        <f>SUM(W5:W7)</f>
        <v>3812229.81</v>
      </c>
      <c r="X8" s="888">
        <f t="shared" si="4"/>
        <v>4539646</v>
      </c>
      <c r="Y8" s="868">
        <f>SUM(Y5:Y7)</f>
        <v>3497337.21</v>
      </c>
      <c r="Z8" s="888">
        <f t="shared" si="4"/>
        <v>3632127</v>
      </c>
      <c r="AA8" s="868">
        <f>SUM(AA5:AA7)</f>
        <v>194138.34999999998</v>
      </c>
      <c r="AB8" s="888">
        <f t="shared" si="4"/>
        <v>218531</v>
      </c>
      <c r="AC8" s="868">
        <f>SUM(AC5:AC7)</f>
        <v>390094.06</v>
      </c>
      <c r="AD8" s="888">
        <f t="shared" si="4"/>
        <v>498521</v>
      </c>
      <c r="AE8" s="868">
        <f>SUM(AE5:AE7)</f>
        <v>1090150.6000000001</v>
      </c>
      <c r="AF8" s="888">
        <f t="shared" si="4"/>
        <v>1277763</v>
      </c>
      <c r="AG8" s="868">
        <f>SUM(AG5:AG7)</f>
        <v>1873903.0599999998</v>
      </c>
      <c r="AH8" s="888">
        <f t="shared" si="4"/>
        <v>2198698</v>
      </c>
      <c r="AI8" s="868">
        <f>SUM(AI5:AI7)</f>
        <v>581362</v>
      </c>
      <c r="AJ8" s="888">
        <f t="shared" si="4"/>
        <v>696047</v>
      </c>
      <c r="AK8" s="868">
        <f>SUM(AK5:AK7)</f>
        <v>471209.65</v>
      </c>
      <c r="AL8" s="888">
        <f t="shared" si="4"/>
        <v>499973</v>
      </c>
      <c r="AM8" s="868">
        <f>SUM(AM5:AM7)</f>
        <v>0</v>
      </c>
      <c r="AN8" s="888">
        <f t="shared" si="4"/>
        <v>0</v>
      </c>
      <c r="AO8" s="868">
        <f>SUM(AO5:AO7)</f>
        <v>4976827.8999999994</v>
      </c>
      <c r="AP8" s="888">
        <f t="shared" si="4"/>
        <v>5843229</v>
      </c>
      <c r="AQ8" s="868">
        <f t="shared" si="4"/>
        <v>201311.01</v>
      </c>
      <c r="AR8" s="888">
        <f t="shared" si="4"/>
        <v>234015</v>
      </c>
      <c r="AS8" s="868">
        <f t="shared" si="4"/>
        <v>288692.61000000004</v>
      </c>
      <c r="AT8" s="1059">
        <f t="shared" si="4"/>
        <v>391618</v>
      </c>
      <c r="AU8" s="868">
        <f t="shared" si="4"/>
        <v>1077925.53</v>
      </c>
      <c r="AV8" s="888">
        <f t="shared" si="4"/>
        <v>1407075</v>
      </c>
      <c r="AW8" s="867">
        <f t="shared" si="2"/>
        <v>22146241.73</v>
      </c>
      <c r="AX8" s="893">
        <f t="shared" si="3"/>
        <v>25933765</v>
      </c>
      <c r="AY8" s="75">
        <f t="shared" si="4"/>
        <v>40284434.43</v>
      </c>
      <c r="AZ8" s="934">
        <f t="shared" si="4"/>
        <v>42741922</v>
      </c>
      <c r="BA8" s="865">
        <f t="shared" si="0"/>
        <v>62430676.159999996</v>
      </c>
      <c r="BB8" s="866">
        <f t="shared" si="1"/>
        <v>68675687</v>
      </c>
    </row>
    <row r="9" spans="1:55" ht="17.25" x14ac:dyDescent="0.35">
      <c r="A9" s="414" t="s">
        <v>232</v>
      </c>
      <c r="B9" s="418"/>
      <c r="C9" s="877"/>
      <c r="D9" s="889"/>
      <c r="E9" s="892"/>
      <c r="F9" s="894"/>
      <c r="G9" s="869"/>
      <c r="H9" s="894"/>
      <c r="I9" s="869"/>
      <c r="J9" s="894"/>
      <c r="K9" s="869"/>
      <c r="L9" s="894"/>
      <c r="M9" s="869"/>
      <c r="N9" s="902"/>
      <c r="O9" s="904"/>
      <c r="P9" s="894"/>
      <c r="Q9" s="869"/>
      <c r="R9" s="89"/>
      <c r="S9" s="6"/>
      <c r="T9" s="894"/>
      <c r="U9" s="869"/>
      <c r="V9" s="894"/>
      <c r="W9" s="869"/>
      <c r="X9" s="894"/>
      <c r="Y9" s="869"/>
      <c r="Z9" s="894"/>
      <c r="AA9" s="869"/>
      <c r="AB9" s="910"/>
      <c r="AC9" s="914"/>
      <c r="AD9" s="894"/>
      <c r="AE9" s="869"/>
      <c r="AF9" s="918"/>
      <c r="AG9" s="919"/>
      <c r="AH9" s="894"/>
      <c r="AI9" s="869"/>
      <c r="AJ9" s="894"/>
      <c r="AK9" s="869"/>
      <c r="AL9" s="894"/>
      <c r="AM9" s="869"/>
      <c r="AN9" s="920"/>
      <c r="AO9" s="922"/>
      <c r="AP9" s="925"/>
      <c r="AQ9" s="877"/>
      <c r="AR9" s="931"/>
      <c r="AS9" s="870"/>
      <c r="AT9" s="1058"/>
      <c r="AU9" s="916"/>
      <c r="AV9" s="894"/>
      <c r="AW9" s="867">
        <f t="shared" si="2"/>
        <v>0</v>
      </c>
      <c r="AX9" s="893">
        <f t="shared" si="3"/>
        <v>0</v>
      </c>
      <c r="AY9" s="869"/>
      <c r="AZ9" s="894"/>
      <c r="BA9" s="865">
        <f t="shared" si="0"/>
        <v>0</v>
      </c>
      <c r="BB9" s="866">
        <f t="shared" si="1"/>
        <v>0</v>
      </c>
    </row>
    <row r="10" spans="1:55" ht="17.25" x14ac:dyDescent="0.35">
      <c r="A10" s="365" t="s">
        <v>233</v>
      </c>
      <c r="B10" s="418"/>
      <c r="C10" s="877">
        <v>259125.6</v>
      </c>
      <c r="D10" s="887">
        <v>283848</v>
      </c>
      <c r="E10" s="891">
        <v>14437.68</v>
      </c>
      <c r="F10" s="893">
        <v>16450</v>
      </c>
      <c r="G10" s="867">
        <v>57948.82</v>
      </c>
      <c r="H10" s="893">
        <v>65673</v>
      </c>
      <c r="I10" s="867">
        <v>264379.03999999998</v>
      </c>
      <c r="J10" s="893">
        <v>299064</v>
      </c>
      <c r="K10" s="867">
        <v>50787.59</v>
      </c>
      <c r="L10" s="893">
        <v>58356</v>
      </c>
      <c r="M10" s="867">
        <v>86236.72</v>
      </c>
      <c r="N10" s="901">
        <v>100770</v>
      </c>
      <c r="O10" s="903">
        <v>31417.5</v>
      </c>
      <c r="P10" s="893">
        <v>35151</v>
      </c>
      <c r="Q10" s="867">
        <v>22215.64</v>
      </c>
      <c r="R10" s="199">
        <v>26516</v>
      </c>
      <c r="S10" s="1">
        <v>106960.12</v>
      </c>
      <c r="T10" s="893">
        <v>115014</v>
      </c>
      <c r="U10" s="867">
        <v>30151.54</v>
      </c>
      <c r="V10" s="893">
        <v>36773</v>
      </c>
      <c r="W10" s="867">
        <v>786115.35</v>
      </c>
      <c r="X10" s="893">
        <v>945929</v>
      </c>
      <c r="Y10" s="867">
        <v>672300.73</v>
      </c>
      <c r="Z10" s="893">
        <v>788361</v>
      </c>
      <c r="AA10" s="867">
        <v>63435.83</v>
      </c>
      <c r="AB10" s="893">
        <v>72420</v>
      </c>
      <c r="AC10" s="867">
        <v>87830.57</v>
      </c>
      <c r="AD10" s="893">
        <v>92409</v>
      </c>
      <c r="AE10" s="867">
        <f>207097.58</f>
        <v>207097.58</v>
      </c>
      <c r="AF10" s="893">
        <v>231170</v>
      </c>
      <c r="AG10" s="867">
        <v>443666.25</v>
      </c>
      <c r="AH10" s="893">
        <v>512816</v>
      </c>
      <c r="AI10" s="867">
        <v>150496</v>
      </c>
      <c r="AJ10" s="893">
        <v>177161</v>
      </c>
      <c r="AK10" s="867">
        <v>127811.45</v>
      </c>
      <c r="AL10" s="893">
        <v>145978</v>
      </c>
      <c r="AM10" s="867"/>
      <c r="AN10" s="920"/>
      <c r="AO10" s="922">
        <v>974482.65</v>
      </c>
      <c r="AP10" s="924">
        <v>1118459</v>
      </c>
      <c r="AQ10" s="928">
        <v>33782.01</v>
      </c>
      <c r="AR10" s="931">
        <v>40279</v>
      </c>
      <c r="AS10" s="870">
        <v>61943.55</v>
      </c>
      <c r="AT10" s="1058">
        <v>77481</v>
      </c>
      <c r="AU10" s="916">
        <v>160256.69</v>
      </c>
      <c r="AV10" s="894">
        <v>198546</v>
      </c>
      <c r="AW10" s="867">
        <f t="shared" si="2"/>
        <v>4692878.91</v>
      </c>
      <c r="AX10" s="893">
        <f t="shared" si="3"/>
        <v>5438624</v>
      </c>
      <c r="AY10" s="869">
        <v>23446140.73</v>
      </c>
      <c r="AZ10" s="912">
        <v>25260799</v>
      </c>
      <c r="BA10" s="865">
        <f t="shared" si="0"/>
        <v>28139019.640000001</v>
      </c>
      <c r="BB10" s="866">
        <f t="shared" si="1"/>
        <v>30699423</v>
      </c>
    </row>
    <row r="11" spans="1:55" ht="17.25" x14ac:dyDescent="0.35">
      <c r="A11" s="365" t="s">
        <v>234</v>
      </c>
      <c r="B11" s="418"/>
      <c r="C11" s="877">
        <v>229026.52</v>
      </c>
      <c r="D11" s="887">
        <v>233399</v>
      </c>
      <c r="E11" s="891">
        <v>17549.61</v>
      </c>
      <c r="F11" s="893">
        <v>20349</v>
      </c>
      <c r="G11" s="867">
        <v>42856.89</v>
      </c>
      <c r="H11" s="893">
        <v>37414</v>
      </c>
      <c r="I11" s="867">
        <v>342263.54</v>
      </c>
      <c r="J11" s="893">
        <v>380635</v>
      </c>
      <c r="K11" s="867">
        <v>26863.55</v>
      </c>
      <c r="L11" s="893">
        <v>39988</v>
      </c>
      <c r="M11" s="867">
        <v>128048</v>
      </c>
      <c r="N11" s="901">
        <v>153513</v>
      </c>
      <c r="O11" s="903">
        <v>10612.73</v>
      </c>
      <c r="P11" s="893">
        <v>2855</v>
      </c>
      <c r="Q11" s="867">
        <v>21437.86</v>
      </c>
      <c r="R11" s="199">
        <v>22706</v>
      </c>
      <c r="S11" s="1">
        <v>16203.48</v>
      </c>
      <c r="T11" s="893">
        <v>37987</v>
      </c>
      <c r="U11" s="867">
        <v>14827.44</v>
      </c>
      <c r="V11" s="893">
        <v>8953</v>
      </c>
      <c r="W11" s="867">
        <v>660574.98</v>
      </c>
      <c r="X11" s="893">
        <v>761447</v>
      </c>
      <c r="Y11" s="867">
        <v>1283121.8899999999</v>
      </c>
      <c r="Z11" s="893">
        <v>1544953</v>
      </c>
      <c r="AA11" s="867">
        <v>19337.57</v>
      </c>
      <c r="AB11" s="893">
        <v>27028</v>
      </c>
      <c r="AC11" s="867">
        <v>64127.58</v>
      </c>
      <c r="AD11" s="893">
        <v>77740</v>
      </c>
      <c r="AE11" s="867">
        <v>-1847.08</v>
      </c>
      <c r="AF11" s="893">
        <v>178437</v>
      </c>
      <c r="AG11" s="867">
        <v>557204.34</v>
      </c>
      <c r="AH11" s="893">
        <v>635314</v>
      </c>
      <c r="AI11" s="867">
        <v>74034</v>
      </c>
      <c r="AJ11" s="893">
        <v>109681</v>
      </c>
      <c r="AK11" s="867">
        <v>57371.42</v>
      </c>
      <c r="AL11" s="893">
        <v>92553</v>
      </c>
      <c r="AM11" s="867"/>
      <c r="AN11" s="920"/>
      <c r="AO11" s="922">
        <v>822704.53</v>
      </c>
      <c r="AP11" s="924">
        <v>932840</v>
      </c>
      <c r="AQ11" s="928">
        <v>10204.82</v>
      </c>
      <c r="AR11" s="931">
        <v>10274</v>
      </c>
      <c r="AS11" s="870">
        <v>57603.27</v>
      </c>
      <c r="AT11" s="1058">
        <v>56207</v>
      </c>
      <c r="AU11" s="916">
        <v>17151.439999999999</v>
      </c>
      <c r="AV11" s="893">
        <v>374064</v>
      </c>
      <c r="AW11" s="867">
        <f t="shared" si="2"/>
        <v>4471278.38</v>
      </c>
      <c r="AX11" s="893">
        <f t="shared" si="3"/>
        <v>5738337</v>
      </c>
      <c r="AY11" s="869">
        <v>4453482.7699999996</v>
      </c>
      <c r="AZ11" s="912">
        <v>4977679</v>
      </c>
      <c r="BA11" s="865">
        <f t="shared" si="0"/>
        <v>8924761.1499999985</v>
      </c>
      <c r="BB11" s="866">
        <f t="shared" si="1"/>
        <v>10716016</v>
      </c>
    </row>
    <row r="12" spans="1:55" ht="17.25" x14ac:dyDescent="0.35">
      <c r="A12" s="365" t="s">
        <v>235</v>
      </c>
      <c r="B12" s="418"/>
      <c r="C12" s="877">
        <v>-70299.67</v>
      </c>
      <c r="D12" s="887">
        <v>-27445</v>
      </c>
      <c r="E12" s="891">
        <v>-4990.6499999999996</v>
      </c>
      <c r="F12" s="893">
        <v>-2971</v>
      </c>
      <c r="G12" s="867">
        <v>-21682.06</v>
      </c>
      <c r="H12" s="893">
        <v>-3834</v>
      </c>
      <c r="I12" s="867">
        <v>-116196.19</v>
      </c>
      <c r="J12" s="893">
        <v>-58621</v>
      </c>
      <c r="K12" s="867">
        <v>-7249.47</v>
      </c>
      <c r="L12" s="893">
        <v>-5950</v>
      </c>
      <c r="M12" s="867">
        <v>-57818.879999999997</v>
      </c>
      <c r="N12" s="901">
        <v>-17184</v>
      </c>
      <c r="O12" s="903">
        <v>-1245.9000000000001</v>
      </c>
      <c r="P12" s="893">
        <v>-486</v>
      </c>
      <c r="Q12" s="867">
        <v>-10046.58</v>
      </c>
      <c r="R12" s="199">
        <v>-3760</v>
      </c>
      <c r="S12" s="1">
        <v>-3605.78</v>
      </c>
      <c r="T12" s="893">
        <v>-2349</v>
      </c>
      <c r="U12" s="867">
        <v>-2995.25</v>
      </c>
      <c r="V12" s="893">
        <v>-2356</v>
      </c>
      <c r="W12" s="867">
        <v>-187610.65</v>
      </c>
      <c r="X12" s="893">
        <v>-115722</v>
      </c>
      <c r="Y12" s="867">
        <v>-531211.97</v>
      </c>
      <c r="Z12" s="893">
        <v>-94226</v>
      </c>
      <c r="AA12" s="867">
        <v>-18432.55</v>
      </c>
      <c r="AB12" s="893">
        <v>-1912</v>
      </c>
      <c r="AC12" s="867">
        <v>-24899.91</v>
      </c>
      <c r="AD12" s="893">
        <v>-9945</v>
      </c>
      <c r="AE12" s="867">
        <v>205250.53</v>
      </c>
      <c r="AF12" s="893">
        <v>-33043</v>
      </c>
      <c r="AG12" s="867">
        <v>-133979.57</v>
      </c>
      <c r="AH12" s="893">
        <v>-181986</v>
      </c>
      <c r="AI12" s="867">
        <v>-17500</v>
      </c>
      <c r="AJ12" s="893">
        <v>-17715</v>
      </c>
      <c r="AK12" s="867">
        <v>-20404.75</v>
      </c>
      <c r="AL12" s="893">
        <v>-12608</v>
      </c>
      <c r="AM12" s="867"/>
      <c r="AN12" s="920"/>
      <c r="AO12" s="922">
        <v>-202505.15</v>
      </c>
      <c r="AP12" s="924">
        <v>-120712</v>
      </c>
      <c r="AQ12" s="928">
        <v>-3498.84</v>
      </c>
      <c r="AR12" s="931">
        <v>-927</v>
      </c>
      <c r="AS12" s="870">
        <v>-16317.49</v>
      </c>
      <c r="AT12" s="1058">
        <v>-9291</v>
      </c>
      <c r="AU12" s="916">
        <v>196764.56</v>
      </c>
      <c r="AV12" s="893">
        <v>-39457</v>
      </c>
      <c r="AW12" s="867">
        <f t="shared" si="2"/>
        <v>-1050476.22</v>
      </c>
      <c r="AX12" s="893">
        <f t="shared" si="3"/>
        <v>-762500</v>
      </c>
      <c r="AY12" s="869">
        <v>-630607.47</v>
      </c>
      <c r="AZ12" s="912">
        <v>-937690</v>
      </c>
      <c r="BA12" s="865">
        <f t="shared" si="0"/>
        <v>-1681083.69</v>
      </c>
      <c r="BB12" s="866">
        <f t="shared" si="1"/>
        <v>-1700190</v>
      </c>
    </row>
    <row r="13" spans="1:55" ht="17.25" x14ac:dyDescent="0.35">
      <c r="A13" s="365" t="s">
        <v>236</v>
      </c>
      <c r="B13" s="418"/>
      <c r="C13" s="877">
        <v>357168.58</v>
      </c>
      <c r="D13" s="887">
        <v>25429</v>
      </c>
      <c r="E13" s="891">
        <v>18894.29</v>
      </c>
      <c r="F13" s="893">
        <v>-2632</v>
      </c>
      <c r="G13" s="867">
        <v>91612.34</v>
      </c>
      <c r="H13" s="893">
        <v>14752</v>
      </c>
      <c r="I13" s="867">
        <v>649487.4</v>
      </c>
      <c r="J13" s="893">
        <v>109269</v>
      </c>
      <c r="K13" s="867">
        <v>32739.68</v>
      </c>
      <c r="L13" s="893">
        <v>-744</v>
      </c>
      <c r="M13" s="867">
        <v>254543.49</v>
      </c>
      <c r="N13" s="901">
        <v>11996</v>
      </c>
      <c r="O13" s="903">
        <v>8528.08</v>
      </c>
      <c r="P13" s="893">
        <v>2071</v>
      </c>
      <c r="Q13" s="867">
        <v>27453.37</v>
      </c>
      <c r="R13" s="199">
        <v>2839</v>
      </c>
      <c r="S13" s="1">
        <v>46475.47</v>
      </c>
      <c r="T13" s="893">
        <v>-4847</v>
      </c>
      <c r="U13" s="867">
        <v>7339.16</v>
      </c>
      <c r="V13" s="893">
        <v>-1390</v>
      </c>
      <c r="W13" s="867">
        <v>2008676.93</v>
      </c>
      <c r="X13" s="893">
        <v>329941</v>
      </c>
      <c r="Y13" s="867">
        <v>3269646.73</v>
      </c>
      <c r="Z13" s="893">
        <v>219680</v>
      </c>
      <c r="AA13" s="867">
        <v>85720.94</v>
      </c>
      <c r="AB13" s="893">
        <v>20174</v>
      </c>
      <c r="AC13" s="867">
        <v>117750.21</v>
      </c>
      <c r="AD13" s="893">
        <v>13677</v>
      </c>
      <c r="AE13" s="867">
        <v>131736.22</v>
      </c>
      <c r="AF13" s="893">
        <v>63256</v>
      </c>
      <c r="AG13" s="867">
        <v>349668.63</v>
      </c>
      <c r="AH13" s="893">
        <v>-97963</v>
      </c>
      <c r="AI13" s="867">
        <v>153116</v>
      </c>
      <c r="AJ13" s="893">
        <v>31449</v>
      </c>
      <c r="AK13" s="867">
        <v>143723.16</v>
      </c>
      <c r="AL13" s="893">
        <v>6349</v>
      </c>
      <c r="AM13" s="867"/>
      <c r="AN13" s="920"/>
      <c r="AO13" s="922">
        <v>1550919.28</v>
      </c>
      <c r="AP13" s="924">
        <v>426340</v>
      </c>
      <c r="AQ13" s="928"/>
      <c r="AR13" s="931"/>
      <c r="AS13" s="870"/>
      <c r="AT13" s="1058">
        <v>-10071</v>
      </c>
      <c r="AU13" s="916">
        <v>-30551.279999999999</v>
      </c>
      <c r="AV13" s="893">
        <v>-67158</v>
      </c>
      <c r="AW13" s="867">
        <f t="shared" si="2"/>
        <v>9274648.6799999997</v>
      </c>
      <c r="AX13" s="893">
        <f t="shared" si="3"/>
        <v>1092417</v>
      </c>
      <c r="AY13" s="869">
        <v>607098.44999999995</v>
      </c>
      <c r="AZ13" s="912">
        <v>-11342</v>
      </c>
      <c r="BA13" s="865">
        <f t="shared" si="0"/>
        <v>9881747.129999999</v>
      </c>
      <c r="BB13" s="866">
        <f t="shared" si="1"/>
        <v>1081075</v>
      </c>
    </row>
    <row r="14" spans="1:55" ht="17.25" x14ac:dyDescent="0.35">
      <c r="A14" s="365" t="s">
        <v>237</v>
      </c>
      <c r="B14" s="418"/>
      <c r="C14" s="877"/>
      <c r="D14" s="889">
        <v>14969</v>
      </c>
      <c r="E14" s="892">
        <v>1961.12</v>
      </c>
      <c r="F14" s="894">
        <v>2432</v>
      </c>
      <c r="G14" s="869"/>
      <c r="H14" s="894"/>
      <c r="I14" s="869">
        <v>9324.6</v>
      </c>
      <c r="J14" s="894">
        <v>13874</v>
      </c>
      <c r="K14" s="869"/>
      <c r="L14" s="894">
        <v>1147</v>
      </c>
      <c r="M14" s="869"/>
      <c r="N14" s="902">
        <v>8850</v>
      </c>
      <c r="O14" s="904">
        <v>-937.21</v>
      </c>
      <c r="P14" s="894">
        <v>-931</v>
      </c>
      <c r="Q14" s="869"/>
      <c r="R14" s="89"/>
      <c r="S14" s="6"/>
      <c r="T14" s="894">
        <v>-355</v>
      </c>
      <c r="U14" s="869"/>
      <c r="V14" s="894">
        <v>301</v>
      </c>
      <c r="W14" s="869"/>
      <c r="X14" s="894"/>
      <c r="Y14" s="869">
        <v>49900.19</v>
      </c>
      <c r="Z14" s="894">
        <v>38186</v>
      </c>
      <c r="AA14" s="869">
        <v>1257.44</v>
      </c>
      <c r="AB14" s="910">
        <v>683</v>
      </c>
      <c r="AC14" s="914">
        <v>-1069.1300000000001</v>
      </c>
      <c r="AD14" s="894">
        <v>-967</v>
      </c>
      <c r="AE14" s="869">
        <v>-41637.97</v>
      </c>
      <c r="AF14" s="918">
        <v>6050</v>
      </c>
      <c r="AG14" s="919"/>
      <c r="AH14" s="894">
        <v>7972</v>
      </c>
      <c r="AI14" s="869">
        <v>1227</v>
      </c>
      <c r="AJ14" s="894">
        <v>3300</v>
      </c>
      <c r="AK14" s="869">
        <v>3592.31</v>
      </c>
      <c r="AL14" s="894">
        <v>2984</v>
      </c>
      <c r="AM14" s="869"/>
      <c r="AN14" s="920"/>
      <c r="AO14" s="922"/>
      <c r="AP14" s="924">
        <v>-132</v>
      </c>
      <c r="AQ14" s="928">
        <v>-828.83</v>
      </c>
      <c r="AR14" s="931">
        <v>1924</v>
      </c>
      <c r="AS14" s="870"/>
      <c r="AT14" s="1058"/>
      <c r="AU14" s="916">
        <v>515138.59</v>
      </c>
      <c r="AV14" s="894">
        <v>27211</v>
      </c>
      <c r="AW14" s="867">
        <f t="shared" si="2"/>
        <v>537928.11</v>
      </c>
      <c r="AX14" s="893">
        <f t="shared" si="3"/>
        <v>127498</v>
      </c>
      <c r="AY14" s="869"/>
      <c r="AZ14" s="894"/>
      <c r="BA14" s="865">
        <f t="shared" si="0"/>
        <v>537928.11</v>
      </c>
      <c r="BB14" s="866">
        <f t="shared" si="1"/>
        <v>127498</v>
      </c>
    </row>
    <row r="15" spans="1:55" ht="17.25" x14ac:dyDescent="0.35">
      <c r="A15" s="365" t="s">
        <v>297</v>
      </c>
      <c r="B15" s="418"/>
      <c r="C15" s="877"/>
      <c r="D15" s="889"/>
      <c r="E15" s="892"/>
      <c r="F15" s="894"/>
      <c r="G15" s="869"/>
      <c r="H15" s="894"/>
      <c r="I15" s="869"/>
      <c r="J15" s="894"/>
      <c r="K15" s="869"/>
      <c r="L15" s="894"/>
      <c r="M15" s="869"/>
      <c r="N15" s="902"/>
      <c r="O15" s="904"/>
      <c r="P15" s="894"/>
      <c r="Q15" s="869"/>
      <c r="R15" s="89"/>
      <c r="S15" s="6"/>
      <c r="T15" s="894"/>
      <c r="U15" s="869"/>
      <c r="V15" s="894">
        <v>585</v>
      </c>
      <c r="W15" s="869"/>
      <c r="X15" s="894"/>
      <c r="Y15" s="869"/>
      <c r="Z15" s="894"/>
      <c r="AA15" s="869"/>
      <c r="AB15" s="910"/>
      <c r="AC15" s="914"/>
      <c r="AD15" s="894"/>
      <c r="AE15" s="869">
        <v>359048.12</v>
      </c>
      <c r="AF15" s="918"/>
      <c r="AG15" s="919"/>
      <c r="AH15" s="894">
        <v>5160</v>
      </c>
      <c r="AI15" s="869"/>
      <c r="AJ15" s="894"/>
      <c r="AK15" s="869"/>
      <c r="AL15" s="894">
        <v>1535</v>
      </c>
      <c r="AM15" s="869"/>
      <c r="AN15" s="920"/>
      <c r="AO15" s="922"/>
      <c r="AP15" s="924"/>
      <c r="AQ15" s="928">
        <v>10721.98</v>
      </c>
      <c r="AR15" s="931">
        <v>-580</v>
      </c>
      <c r="AS15" s="870">
        <v>36970.28</v>
      </c>
      <c r="AT15" s="1058">
        <v>4728</v>
      </c>
      <c r="AU15" s="916"/>
      <c r="AV15" s="894"/>
      <c r="AW15" s="867">
        <f t="shared" si="2"/>
        <v>406740.38</v>
      </c>
      <c r="AX15" s="893">
        <f t="shared" si="3"/>
        <v>11428</v>
      </c>
      <c r="AY15" s="869"/>
      <c r="AZ15" s="894"/>
      <c r="BA15" s="865">
        <f t="shared" si="0"/>
        <v>406740.38</v>
      </c>
      <c r="BB15" s="866">
        <f t="shared" si="1"/>
        <v>11428</v>
      </c>
    </row>
    <row r="16" spans="1:55" ht="17.25" x14ac:dyDescent="0.35">
      <c r="A16" s="414" t="s">
        <v>238</v>
      </c>
      <c r="B16" s="418"/>
      <c r="C16" s="877"/>
      <c r="D16" s="887"/>
      <c r="E16" s="891"/>
      <c r="F16" s="893"/>
      <c r="G16" s="867"/>
      <c r="H16" s="893"/>
      <c r="I16" s="867"/>
      <c r="J16" s="893"/>
      <c r="K16" s="867"/>
      <c r="L16" s="893"/>
      <c r="M16" s="867"/>
      <c r="N16" s="901"/>
      <c r="O16" s="903"/>
      <c r="P16" s="893"/>
      <c r="Q16" s="867"/>
      <c r="R16" s="199"/>
      <c r="S16" s="1"/>
      <c r="T16" s="893"/>
      <c r="U16" s="867"/>
      <c r="V16" s="893"/>
      <c r="W16" s="867"/>
      <c r="X16" s="893"/>
      <c r="Y16" s="867"/>
      <c r="Z16" s="893"/>
      <c r="AA16" s="867"/>
      <c r="AB16" s="910"/>
      <c r="AC16" s="914"/>
      <c r="AD16" s="893"/>
      <c r="AE16" s="867"/>
      <c r="AF16" s="893"/>
      <c r="AG16" s="867"/>
      <c r="AH16" s="893"/>
      <c r="AI16" s="867"/>
      <c r="AJ16" s="893"/>
      <c r="AK16" s="867"/>
      <c r="AL16" s="893"/>
      <c r="AM16" s="867"/>
      <c r="AN16" s="920"/>
      <c r="AO16" s="922"/>
      <c r="AP16" s="925"/>
      <c r="AQ16" s="877"/>
      <c r="AR16" s="931"/>
      <c r="AS16" s="870"/>
      <c r="AT16" s="1058"/>
      <c r="AU16" s="916"/>
      <c r="AV16" s="893"/>
      <c r="AW16" s="867">
        <f t="shared" si="2"/>
        <v>0</v>
      </c>
      <c r="AX16" s="893">
        <f t="shared" si="3"/>
        <v>0</v>
      </c>
      <c r="AY16" s="869"/>
      <c r="AZ16" s="893"/>
      <c r="BA16" s="865">
        <f t="shared" si="0"/>
        <v>0</v>
      </c>
      <c r="BB16" s="866">
        <f t="shared" si="1"/>
        <v>0</v>
      </c>
    </row>
    <row r="17" spans="1:54" ht="17.25" x14ac:dyDescent="0.35">
      <c r="A17" s="365" t="s">
        <v>239</v>
      </c>
      <c r="B17" s="418"/>
      <c r="C17" s="877">
        <v>14713.31</v>
      </c>
      <c r="D17" s="887">
        <v>7703</v>
      </c>
      <c r="E17" s="891">
        <v>7339.06</v>
      </c>
      <c r="F17" s="893">
        <v>8429</v>
      </c>
      <c r="G17" s="867">
        <v>10198.49</v>
      </c>
      <c r="H17" s="893"/>
      <c r="I17" s="867">
        <v>61345.37</v>
      </c>
      <c r="J17" s="893"/>
      <c r="K17" s="867">
        <v>20040.07</v>
      </c>
      <c r="L17" s="893"/>
      <c r="M17" s="867">
        <f>17850+375.02</f>
        <v>18225.02</v>
      </c>
      <c r="N17" s="901">
        <v>412</v>
      </c>
      <c r="O17" s="903">
        <v>83212</v>
      </c>
      <c r="P17" s="893"/>
      <c r="Q17" s="867">
        <f>17176.83+9335.61</f>
        <v>26512.440000000002</v>
      </c>
      <c r="R17" s="199">
        <f>17132+9309</f>
        <v>26441</v>
      </c>
      <c r="S17" s="1">
        <f>955.04+8503.13</f>
        <v>9458.1699999999983</v>
      </c>
      <c r="T17" s="893">
        <v>12167</v>
      </c>
      <c r="U17" s="867">
        <v>18868.740000000002</v>
      </c>
      <c r="V17" s="893">
        <v>15848</v>
      </c>
      <c r="W17" s="867">
        <v>25855.91</v>
      </c>
      <c r="X17" s="893">
        <v>56943</v>
      </c>
      <c r="Y17" s="867">
        <f>147683.21+9794.74</f>
        <v>157477.94999999998</v>
      </c>
      <c r="Z17" s="893">
        <f>21450+194661</f>
        <v>216111</v>
      </c>
      <c r="AA17" s="867">
        <v>14.4</v>
      </c>
      <c r="AB17" s="910">
        <v>134</v>
      </c>
      <c r="AC17" s="914">
        <f>16790.79+128.03</f>
        <v>16918.82</v>
      </c>
      <c r="AD17" s="893"/>
      <c r="AE17" s="867">
        <v>708.58</v>
      </c>
      <c r="AF17" s="893">
        <v>267</v>
      </c>
      <c r="AG17" s="867">
        <v>1717.55</v>
      </c>
      <c r="AH17" s="893">
        <v>1557</v>
      </c>
      <c r="AI17" s="867" t="s">
        <v>441</v>
      </c>
      <c r="AJ17" s="893">
        <v>250</v>
      </c>
      <c r="AK17" s="867">
        <f>18425.41+6347.49</f>
        <v>24772.9</v>
      </c>
      <c r="AL17" s="893"/>
      <c r="AM17" s="867"/>
      <c r="AN17" s="920"/>
      <c r="AO17" s="922">
        <v>82479.37</v>
      </c>
      <c r="AP17" s="925">
        <v>98215</v>
      </c>
      <c r="AQ17" s="877">
        <f>195.96+241.22</f>
        <v>437.18</v>
      </c>
      <c r="AR17" s="931"/>
      <c r="AS17" s="870">
        <v>1701.42</v>
      </c>
      <c r="AT17" s="1058">
        <v>461</v>
      </c>
      <c r="AU17" s="916">
        <v>17570.62</v>
      </c>
      <c r="AV17" s="893">
        <f>56018+4009</f>
        <v>60027</v>
      </c>
      <c r="AW17" s="867" t="e">
        <f t="shared" si="2"/>
        <v>#VALUE!</v>
      </c>
      <c r="AX17" s="893">
        <f t="shared" si="3"/>
        <v>504965</v>
      </c>
      <c r="AY17" s="869">
        <v>475.97</v>
      </c>
      <c r="AZ17" s="893">
        <v>942</v>
      </c>
      <c r="BA17" s="865" t="e">
        <f t="shared" si="0"/>
        <v>#VALUE!</v>
      </c>
      <c r="BB17" s="866">
        <f t="shared" si="1"/>
        <v>505907</v>
      </c>
    </row>
    <row r="18" spans="1:54" ht="17.25" x14ac:dyDescent="0.35">
      <c r="A18" s="365" t="s">
        <v>240</v>
      </c>
      <c r="B18" s="418"/>
      <c r="C18" s="877"/>
      <c r="D18" s="887"/>
      <c r="E18" s="891">
        <f>21.47+190.23</f>
        <v>211.7</v>
      </c>
      <c r="F18" s="893">
        <v>27</v>
      </c>
      <c r="G18" s="867"/>
      <c r="H18" s="893"/>
      <c r="I18" s="867">
        <v>1651.89</v>
      </c>
      <c r="J18" s="893"/>
      <c r="K18" s="867">
        <v>266.66000000000003</v>
      </c>
      <c r="L18" s="893"/>
      <c r="M18" s="867"/>
      <c r="N18" s="901"/>
      <c r="O18" s="903"/>
      <c r="P18" s="893"/>
      <c r="Q18" s="867">
        <v>1091</v>
      </c>
      <c r="R18" s="199">
        <v>10</v>
      </c>
      <c r="S18" s="1"/>
      <c r="T18" s="893"/>
      <c r="U18" s="867"/>
      <c r="V18" s="893"/>
      <c r="W18" s="867">
        <v>2828.32</v>
      </c>
      <c r="X18" s="893">
        <v>2729</v>
      </c>
      <c r="Y18" s="867">
        <v>4353.91</v>
      </c>
      <c r="Z18" s="893">
        <v>4109</v>
      </c>
      <c r="AA18" s="867"/>
      <c r="AB18" s="910"/>
      <c r="AC18" s="914"/>
      <c r="AD18" s="893"/>
      <c r="AE18" s="867">
        <v>145</v>
      </c>
      <c r="AF18" s="893">
        <v>173</v>
      </c>
      <c r="AG18" s="867">
        <v>4102.16</v>
      </c>
      <c r="AH18" s="893"/>
      <c r="AI18" s="867"/>
      <c r="AJ18" s="893"/>
      <c r="AK18" s="867"/>
      <c r="AL18" s="893">
        <v>8456</v>
      </c>
      <c r="AM18" s="867"/>
      <c r="AN18" s="920"/>
      <c r="AO18" s="922">
        <v>1310.93</v>
      </c>
      <c r="AP18" s="924">
        <v>1206</v>
      </c>
      <c r="AQ18" s="928"/>
      <c r="AR18" s="931"/>
      <c r="AS18" s="870"/>
      <c r="AT18" s="1058"/>
      <c r="AU18" s="916"/>
      <c r="AV18" s="893"/>
      <c r="AW18" s="867">
        <f t="shared" si="2"/>
        <v>15961.57</v>
      </c>
      <c r="AX18" s="893">
        <f t="shared" si="3"/>
        <v>16710</v>
      </c>
      <c r="AY18" s="869"/>
      <c r="AZ18" s="893"/>
      <c r="BA18" s="865">
        <f t="shared" si="0"/>
        <v>15961.57</v>
      </c>
      <c r="BB18" s="866">
        <f t="shared" si="1"/>
        <v>16710</v>
      </c>
    </row>
    <row r="19" spans="1:54" ht="17.25" x14ac:dyDescent="0.35">
      <c r="A19" s="365" t="s">
        <v>241</v>
      </c>
      <c r="B19" s="418"/>
      <c r="C19" s="877">
        <v>5521.36</v>
      </c>
      <c r="D19" s="887">
        <v>5202</v>
      </c>
      <c r="E19" s="891"/>
      <c r="F19" s="893">
        <v>3</v>
      </c>
      <c r="G19" s="867">
        <v>468.52</v>
      </c>
      <c r="H19" s="893"/>
      <c r="I19" s="867">
        <v>4804.83</v>
      </c>
      <c r="J19" s="893"/>
      <c r="K19" s="867">
        <v>1088.27</v>
      </c>
      <c r="L19" s="893"/>
      <c r="M19" s="867">
        <v>22062</v>
      </c>
      <c r="N19" s="901">
        <v>415</v>
      </c>
      <c r="O19" s="903">
        <f>39726+277902</f>
        <v>317628</v>
      </c>
      <c r="P19" s="893"/>
      <c r="Q19" s="867">
        <v>328.06</v>
      </c>
      <c r="R19" s="199">
        <v>347</v>
      </c>
      <c r="S19" s="1">
        <v>626.15</v>
      </c>
      <c r="T19" s="893">
        <v>4965</v>
      </c>
      <c r="U19" s="867">
        <f>851.48-119.29+506.4</f>
        <v>1238.5900000000001</v>
      </c>
      <c r="V19" s="893">
        <v>3666</v>
      </c>
      <c r="W19" s="867">
        <v>15510.87</v>
      </c>
      <c r="X19" s="893">
        <v>14926</v>
      </c>
      <c r="Y19" s="867">
        <f>4889.07+96.97</f>
        <v>4986.04</v>
      </c>
      <c r="Z19" s="893">
        <f>6708+442</f>
        <v>7150</v>
      </c>
      <c r="AA19" s="867">
        <v>312.95</v>
      </c>
      <c r="AB19" s="910"/>
      <c r="AC19" s="914">
        <v>1156.0899999999999</v>
      </c>
      <c r="AD19" s="893">
        <f>658+47+48389</f>
        <v>49094</v>
      </c>
      <c r="AE19" s="867">
        <f>87.34-60.23</f>
        <v>27.110000000000007</v>
      </c>
      <c r="AF19" s="893">
        <v>48</v>
      </c>
      <c r="AG19" s="867"/>
      <c r="AH19" s="893"/>
      <c r="AI19" s="867">
        <f>731+184</f>
        <v>915</v>
      </c>
      <c r="AJ19" s="893">
        <f>1258+234</f>
        <v>1492</v>
      </c>
      <c r="AK19" s="867">
        <v>1004.66</v>
      </c>
      <c r="AL19" s="893">
        <v>10672</v>
      </c>
      <c r="AM19" s="867"/>
      <c r="AN19" s="920"/>
      <c r="AO19" s="922">
        <v>2270.56</v>
      </c>
      <c r="AP19" s="924">
        <v>3275</v>
      </c>
      <c r="AQ19" s="928">
        <f>510.37+164.04+577.07</f>
        <v>1251.48</v>
      </c>
      <c r="AR19" s="931">
        <f>271+759+257</f>
        <v>1287</v>
      </c>
      <c r="AS19" s="870">
        <v>272.74</v>
      </c>
      <c r="AT19" s="1058">
        <v>361</v>
      </c>
      <c r="AU19" s="916">
        <f>519.65+3714.93+4742.31-49.04</f>
        <v>8927.8499999999985</v>
      </c>
      <c r="AV19" s="893">
        <f>433+3454-9+62+5275</f>
        <v>9215</v>
      </c>
      <c r="AW19" s="867">
        <f t="shared" si="2"/>
        <v>390401.12999999995</v>
      </c>
      <c r="AX19" s="893">
        <f t="shared" si="3"/>
        <v>112118</v>
      </c>
      <c r="AY19" s="869">
        <f>664.97+58809.55</f>
        <v>59474.520000000004</v>
      </c>
      <c r="AZ19" s="893">
        <v>77947</v>
      </c>
      <c r="BA19" s="865">
        <f t="shared" si="0"/>
        <v>449875.64999999997</v>
      </c>
      <c r="BB19" s="866">
        <f t="shared" si="1"/>
        <v>190065</v>
      </c>
    </row>
    <row r="20" spans="1:54" s="595" customFormat="1" ht="18" x14ac:dyDescent="0.35">
      <c r="A20" s="414" t="s">
        <v>20</v>
      </c>
      <c r="B20" s="594"/>
      <c r="C20" s="880">
        <v>1743483.69</v>
      </c>
      <c r="D20" s="889">
        <v>1707250</v>
      </c>
      <c r="E20" s="892"/>
      <c r="F20" s="894">
        <v>76078</v>
      </c>
      <c r="G20" s="869">
        <v>291416.14</v>
      </c>
      <c r="H20" s="894"/>
      <c r="I20" s="869">
        <v>2409662.15</v>
      </c>
      <c r="J20" s="894"/>
      <c r="K20" s="869">
        <v>349373.36</v>
      </c>
      <c r="L20" s="894"/>
      <c r="M20" s="869">
        <v>932096.31</v>
      </c>
      <c r="N20" s="902">
        <v>841179</v>
      </c>
      <c r="O20" s="904">
        <v>14588400</v>
      </c>
      <c r="P20" s="894"/>
      <c r="Q20" s="869">
        <v>209152.27</v>
      </c>
      <c r="R20" s="298">
        <v>26798</v>
      </c>
      <c r="S20" s="800">
        <v>501015.87</v>
      </c>
      <c r="T20" s="894">
        <v>525965</v>
      </c>
      <c r="U20" s="869">
        <v>177064.74</v>
      </c>
      <c r="V20" s="894">
        <v>200007</v>
      </c>
      <c r="W20" s="869">
        <v>7124181.5199999996</v>
      </c>
      <c r="X20" s="894">
        <v>6535839</v>
      </c>
      <c r="Y20" s="869">
        <v>8407912.6799999997</v>
      </c>
      <c r="Z20" s="894">
        <v>6356451</v>
      </c>
      <c r="AA20" s="869">
        <v>345784.93</v>
      </c>
      <c r="AB20" s="911">
        <v>337058</v>
      </c>
      <c r="AC20" s="915">
        <v>651908.31999999995</v>
      </c>
      <c r="AD20" s="894">
        <v>720530</v>
      </c>
      <c r="AE20" s="869">
        <v>840335.23</v>
      </c>
      <c r="AF20" s="894">
        <v>1724121</v>
      </c>
      <c r="AG20" s="869">
        <v>3096282.62</v>
      </c>
      <c r="AH20" s="894">
        <v>3081567</v>
      </c>
      <c r="AI20" s="869">
        <v>949829</v>
      </c>
      <c r="AJ20" s="894">
        <v>1023953</v>
      </c>
      <c r="AK20" s="869">
        <v>809080.8</v>
      </c>
      <c r="AL20" s="894">
        <v>755892</v>
      </c>
      <c r="AM20" s="869"/>
      <c r="AN20" s="921"/>
      <c r="AO20" s="923">
        <v>8208490.0700000003</v>
      </c>
      <c r="AP20" s="926">
        <v>2459491</v>
      </c>
      <c r="AQ20" s="929">
        <v>253380.8</v>
      </c>
      <c r="AR20" s="932">
        <v>286273</v>
      </c>
      <c r="AS20" s="933">
        <v>430866.38</v>
      </c>
      <c r="AT20" s="1060">
        <v>511495</v>
      </c>
      <c r="AU20" s="917">
        <v>1963184</v>
      </c>
      <c r="AV20" s="894">
        <v>1969523</v>
      </c>
      <c r="AW20" s="867">
        <f t="shared" si="2"/>
        <v>54282900.879999988</v>
      </c>
      <c r="AX20" s="893">
        <f t="shared" si="3"/>
        <v>29139470</v>
      </c>
      <c r="AY20" s="869">
        <v>68220499.400000006</v>
      </c>
      <c r="AZ20" s="913">
        <v>72110256</v>
      </c>
      <c r="BA20" s="865">
        <f t="shared" si="0"/>
        <v>122503400.28</v>
      </c>
      <c r="BB20" s="866">
        <f t="shared" si="1"/>
        <v>101249726</v>
      </c>
    </row>
    <row r="21" spans="1:54" ht="17.25" x14ac:dyDescent="0.35">
      <c r="A21" s="365" t="s">
        <v>59</v>
      </c>
      <c r="B21" s="414" t="s">
        <v>242</v>
      </c>
      <c r="C21" s="878">
        <v>54282.35</v>
      </c>
      <c r="D21" s="887">
        <v>59624</v>
      </c>
      <c r="E21" s="891">
        <v>506.15</v>
      </c>
      <c r="F21" s="893">
        <v>294</v>
      </c>
      <c r="G21" s="867">
        <v>2516.41</v>
      </c>
      <c r="H21" s="893"/>
      <c r="I21" s="867">
        <v>57987.09</v>
      </c>
      <c r="J21" s="893"/>
      <c r="K21" s="867">
        <v>15624.34</v>
      </c>
      <c r="L21" s="893">
        <v>16808</v>
      </c>
      <c r="M21" s="867">
        <v>29364.83</v>
      </c>
      <c r="N21" s="901">
        <v>35920</v>
      </c>
      <c r="O21" s="903">
        <v>294294</v>
      </c>
      <c r="P21" s="893"/>
      <c r="Q21" s="867">
        <v>10602.56</v>
      </c>
      <c r="R21" s="199">
        <v>10727</v>
      </c>
      <c r="S21" s="1">
        <v>21202.44</v>
      </c>
      <c r="T21" s="893">
        <v>18447</v>
      </c>
      <c r="U21" s="867">
        <v>4163.71</v>
      </c>
      <c r="V21" s="893">
        <v>4661</v>
      </c>
      <c r="W21" s="867">
        <v>171039.85</v>
      </c>
      <c r="X21" s="893">
        <v>194029</v>
      </c>
      <c r="Y21" s="867">
        <v>150021.79</v>
      </c>
      <c r="Z21" s="893">
        <v>167291</v>
      </c>
      <c r="AA21" s="867">
        <v>6708.5</v>
      </c>
      <c r="AB21" s="910">
        <v>8191</v>
      </c>
      <c r="AC21" s="914">
        <v>17136.830000000002</v>
      </c>
      <c r="AD21" s="893">
        <v>25371</v>
      </c>
      <c r="AE21" s="867">
        <v>52300.51</v>
      </c>
      <c r="AF21" s="893">
        <v>59028</v>
      </c>
      <c r="AG21" s="867">
        <v>122701</v>
      </c>
      <c r="AH21" s="893">
        <v>140281</v>
      </c>
      <c r="AI21" s="867">
        <v>33892</v>
      </c>
      <c r="AJ21" s="893">
        <v>40678</v>
      </c>
      <c r="AK21" s="867">
        <v>14912.68</v>
      </c>
      <c r="AL21" s="893">
        <v>15480</v>
      </c>
      <c r="AM21" s="867"/>
      <c r="AN21" s="920"/>
      <c r="AO21" s="922">
        <v>177878.06</v>
      </c>
      <c r="AP21" s="924">
        <v>215829</v>
      </c>
      <c r="AQ21" s="928">
        <v>12290.66</v>
      </c>
      <c r="AR21" s="931">
        <v>12764</v>
      </c>
      <c r="AS21" s="870">
        <v>18219.759999999998</v>
      </c>
      <c r="AT21" s="1058">
        <v>23780</v>
      </c>
      <c r="AU21" s="916">
        <v>105723.47</v>
      </c>
      <c r="AV21" s="893">
        <v>132155</v>
      </c>
      <c r="AW21" s="867">
        <f t="shared" si="2"/>
        <v>1373368.99</v>
      </c>
      <c r="AX21" s="893">
        <f t="shared" si="3"/>
        <v>1181358</v>
      </c>
      <c r="AY21" s="869">
        <v>2216991.7000000002</v>
      </c>
      <c r="AZ21" s="912">
        <v>2317145</v>
      </c>
      <c r="BA21" s="865">
        <f t="shared" si="0"/>
        <v>3590360.6900000004</v>
      </c>
      <c r="BB21" s="866">
        <f t="shared" si="1"/>
        <v>3498503</v>
      </c>
    </row>
    <row r="22" spans="1:54" ht="17.25" x14ac:dyDescent="0.35">
      <c r="A22" s="365" t="s">
        <v>243</v>
      </c>
      <c r="B22" s="414" t="s">
        <v>244</v>
      </c>
      <c r="C22" s="878">
        <v>132117.76000000001</v>
      </c>
      <c r="D22" s="887">
        <v>152089</v>
      </c>
      <c r="E22" s="891">
        <v>17994.669999999998</v>
      </c>
      <c r="F22" s="893">
        <v>16260</v>
      </c>
      <c r="G22" s="867">
        <v>28757.09</v>
      </c>
      <c r="H22" s="893"/>
      <c r="I22" s="867">
        <v>192676.95</v>
      </c>
      <c r="J22" s="893"/>
      <c r="K22" s="867">
        <v>69935.27</v>
      </c>
      <c r="L22" s="893">
        <v>87179</v>
      </c>
      <c r="M22" s="867">
        <v>58756.61</v>
      </c>
      <c r="N22" s="901">
        <v>69730</v>
      </c>
      <c r="O22" s="903">
        <v>2498163</v>
      </c>
      <c r="P22" s="893"/>
      <c r="Q22" s="867">
        <v>54295.4</v>
      </c>
      <c r="R22" s="199">
        <v>53891</v>
      </c>
      <c r="S22" s="1">
        <v>66291.11</v>
      </c>
      <c r="T22" s="893">
        <v>74328</v>
      </c>
      <c r="U22" s="867">
        <v>54939.31</v>
      </c>
      <c r="V22" s="893">
        <v>51340</v>
      </c>
      <c r="W22" s="867">
        <v>458597.05</v>
      </c>
      <c r="X22" s="893">
        <v>561250</v>
      </c>
      <c r="Y22" s="867">
        <v>268826.36</v>
      </c>
      <c r="Z22" s="893">
        <v>367295</v>
      </c>
      <c r="AA22" s="867">
        <v>23890.400000000001</v>
      </c>
      <c r="AB22" s="910">
        <v>26652</v>
      </c>
      <c r="AC22" s="914">
        <v>56146.78</v>
      </c>
      <c r="AD22" s="893">
        <v>70427</v>
      </c>
      <c r="AE22" s="867">
        <v>149668.69</v>
      </c>
      <c r="AF22" s="893">
        <v>164847</v>
      </c>
      <c r="AG22" s="867">
        <v>270062.55</v>
      </c>
      <c r="AH22" s="893">
        <v>301923</v>
      </c>
      <c r="AI22" s="867">
        <v>100850</v>
      </c>
      <c r="AJ22" s="893">
        <v>120892</v>
      </c>
      <c r="AK22" s="867">
        <v>104144.64</v>
      </c>
      <c r="AL22" s="893">
        <v>107182</v>
      </c>
      <c r="AM22" s="867"/>
      <c r="AN22" s="920"/>
      <c r="AO22" s="922">
        <v>241225.09</v>
      </c>
      <c r="AP22" s="924">
        <v>297445</v>
      </c>
      <c r="AQ22" s="928">
        <v>48881.03</v>
      </c>
      <c r="AR22" s="931">
        <v>51305</v>
      </c>
      <c r="AS22" s="870">
        <v>38997.94</v>
      </c>
      <c r="AT22" s="1058">
        <v>47518</v>
      </c>
      <c r="AU22" s="916">
        <v>173397.33</v>
      </c>
      <c r="AV22" s="893">
        <v>291516</v>
      </c>
      <c r="AW22" s="867">
        <f t="shared" si="2"/>
        <v>5108615.0299999993</v>
      </c>
      <c r="AX22" s="893">
        <f t="shared" si="3"/>
        <v>2913069</v>
      </c>
      <c r="AY22" s="869">
        <v>3498952.29</v>
      </c>
      <c r="AZ22" s="912">
        <v>3889067</v>
      </c>
      <c r="BA22" s="865">
        <f t="shared" si="0"/>
        <v>8607567.3200000003</v>
      </c>
      <c r="BB22" s="866">
        <f t="shared" si="1"/>
        <v>6802136</v>
      </c>
    </row>
    <row r="23" spans="1:54" ht="17.25" x14ac:dyDescent="0.35">
      <c r="A23" s="365" t="s">
        <v>290</v>
      </c>
      <c r="B23" s="414"/>
      <c r="C23" s="878"/>
      <c r="D23" s="887"/>
      <c r="E23" s="891"/>
      <c r="F23" s="893"/>
      <c r="G23" s="867"/>
      <c r="H23" s="893"/>
      <c r="I23" s="867"/>
      <c r="J23" s="893"/>
      <c r="K23" s="867"/>
      <c r="L23" s="893"/>
      <c r="M23" s="867"/>
      <c r="N23" s="901"/>
      <c r="O23" s="903"/>
      <c r="P23" s="893"/>
      <c r="Q23" s="867"/>
      <c r="R23" s="199"/>
      <c r="S23" s="1"/>
      <c r="T23" s="893"/>
      <c r="U23" s="867"/>
      <c r="V23" s="893"/>
      <c r="W23" s="867"/>
      <c r="X23" s="893"/>
      <c r="Y23" s="867"/>
      <c r="Z23" s="893"/>
      <c r="AA23" s="867"/>
      <c r="AB23" s="910"/>
      <c r="AC23" s="914"/>
      <c r="AD23" s="893"/>
      <c r="AE23" s="867"/>
      <c r="AF23" s="893"/>
      <c r="AG23" s="867"/>
      <c r="AH23" s="893"/>
      <c r="AI23" s="867"/>
      <c r="AJ23" s="893"/>
      <c r="AK23" s="867"/>
      <c r="AL23" s="893"/>
      <c r="AM23" s="867"/>
      <c r="AN23" s="920"/>
      <c r="AO23" s="922"/>
      <c r="AP23" s="924"/>
      <c r="AQ23" s="928"/>
      <c r="AR23" s="931"/>
      <c r="AS23" s="870"/>
      <c r="AT23" s="1058"/>
      <c r="AU23" s="916"/>
      <c r="AV23" s="893"/>
      <c r="AW23" s="867">
        <f t="shared" si="2"/>
        <v>0</v>
      </c>
      <c r="AX23" s="893">
        <f t="shared" si="3"/>
        <v>0</v>
      </c>
      <c r="AY23" s="869">
        <v>-508.21</v>
      </c>
      <c r="AZ23" s="912"/>
      <c r="BA23" s="865">
        <f t="shared" si="0"/>
        <v>-508.21</v>
      </c>
      <c r="BB23" s="866">
        <f t="shared" si="1"/>
        <v>0</v>
      </c>
    </row>
    <row r="24" spans="1:54" ht="17.25" x14ac:dyDescent="0.35">
      <c r="A24" s="365" t="s">
        <v>245</v>
      </c>
      <c r="B24" s="418"/>
      <c r="C24" s="877">
        <v>4.43</v>
      </c>
      <c r="D24" s="887">
        <v>131</v>
      </c>
      <c r="E24" s="891">
        <v>341.68</v>
      </c>
      <c r="F24" s="893">
        <v>-8</v>
      </c>
      <c r="G24" s="867">
        <v>38.409999999999997</v>
      </c>
      <c r="H24" s="893"/>
      <c r="I24" s="867">
        <v>163.82</v>
      </c>
      <c r="J24" s="893"/>
      <c r="K24" s="867">
        <v>84.31</v>
      </c>
      <c r="L24" s="893"/>
      <c r="M24" s="867">
        <v>1.96</v>
      </c>
      <c r="N24" s="901">
        <v>6</v>
      </c>
      <c r="O24" s="903"/>
      <c r="P24" s="893"/>
      <c r="Q24" s="867">
        <v>53.73</v>
      </c>
      <c r="R24" s="199">
        <v>75</v>
      </c>
      <c r="S24" s="1"/>
      <c r="T24" s="893"/>
      <c r="U24" s="867">
        <v>165.89</v>
      </c>
      <c r="V24" s="893">
        <v>137</v>
      </c>
      <c r="W24" s="867"/>
      <c r="X24" s="893"/>
      <c r="Y24" s="867">
        <v>184.71</v>
      </c>
      <c r="Z24" s="893">
        <v>141</v>
      </c>
      <c r="AA24" s="867">
        <v>-2.21</v>
      </c>
      <c r="AB24" s="910">
        <v>-8</v>
      </c>
      <c r="AC24" s="914"/>
      <c r="AD24" s="893"/>
      <c r="AE24" s="867"/>
      <c r="AF24" s="893"/>
      <c r="AG24" s="867">
        <v>168.37</v>
      </c>
      <c r="AH24" s="893">
        <v>-3</v>
      </c>
      <c r="AI24" s="867"/>
      <c r="AJ24" s="893"/>
      <c r="AK24" s="867">
        <v>-263.20999999999998</v>
      </c>
      <c r="AL24" s="893">
        <v>-110</v>
      </c>
      <c r="AM24" s="867"/>
      <c r="AN24" s="920"/>
      <c r="AO24" s="922">
        <v>-22.37</v>
      </c>
      <c r="AP24" s="924">
        <v>98</v>
      </c>
      <c r="AQ24" s="928"/>
      <c r="AR24" s="931"/>
      <c r="AS24" s="870">
        <v>-8.7200000000000006</v>
      </c>
      <c r="AT24" s="1058">
        <v>13</v>
      </c>
      <c r="AU24" s="916"/>
      <c r="AV24" s="893"/>
      <c r="AW24" s="867">
        <f t="shared" si="2"/>
        <v>910.79999999999984</v>
      </c>
      <c r="AX24" s="893">
        <f t="shared" si="3"/>
        <v>472</v>
      </c>
      <c r="AY24" s="869">
        <v>895853.09</v>
      </c>
      <c r="AZ24" s="912">
        <v>-129895</v>
      </c>
      <c r="BA24" s="865">
        <f t="shared" si="0"/>
        <v>896763.89</v>
      </c>
      <c r="BB24" s="866">
        <f t="shared" si="1"/>
        <v>-129423</v>
      </c>
    </row>
    <row r="25" spans="1:54" ht="17.25" x14ac:dyDescent="0.35">
      <c r="A25" s="365" t="s">
        <v>246</v>
      </c>
      <c r="B25" s="418"/>
      <c r="C25" s="877"/>
      <c r="D25" s="889"/>
      <c r="E25" s="892">
        <v>10.77</v>
      </c>
      <c r="F25" s="894"/>
      <c r="G25" s="869"/>
      <c r="H25" s="894"/>
      <c r="I25" s="869">
        <v>105.07</v>
      </c>
      <c r="J25" s="894"/>
      <c r="K25" s="869">
        <v>255.73</v>
      </c>
      <c r="L25" s="894"/>
      <c r="M25" s="869">
        <v>5.04</v>
      </c>
      <c r="N25" s="902"/>
      <c r="O25" s="904"/>
      <c r="P25" s="894"/>
      <c r="Q25" s="869"/>
      <c r="R25" s="89"/>
      <c r="S25" s="6"/>
      <c r="T25" s="894"/>
      <c r="U25" s="869"/>
      <c r="V25" s="894"/>
      <c r="W25" s="869"/>
      <c r="X25" s="894"/>
      <c r="Y25" s="869">
        <v>181.76</v>
      </c>
      <c r="Z25" s="894">
        <v>337</v>
      </c>
      <c r="AA25" s="869">
        <v>6.3</v>
      </c>
      <c r="AB25" s="910">
        <v>9</v>
      </c>
      <c r="AC25" s="914"/>
      <c r="AD25" s="894"/>
      <c r="AE25" s="869"/>
      <c r="AF25" s="918">
        <v>1282</v>
      </c>
      <c r="AG25" s="919">
        <v>233.16</v>
      </c>
      <c r="AH25" s="894">
        <v>184</v>
      </c>
      <c r="AI25" s="869"/>
      <c r="AJ25" s="894"/>
      <c r="AK25" s="869">
        <v>385.76</v>
      </c>
      <c r="AL25" s="894">
        <v>221</v>
      </c>
      <c r="AM25" s="869"/>
      <c r="AN25" s="920"/>
      <c r="AO25" s="922">
        <v>14.85</v>
      </c>
      <c r="AP25" s="927">
        <v>2953</v>
      </c>
      <c r="AQ25" s="930"/>
      <c r="AR25" s="931"/>
      <c r="AS25" s="870">
        <v>32</v>
      </c>
      <c r="AT25" s="1058">
        <v>2083</v>
      </c>
      <c r="AU25" s="916"/>
      <c r="AV25" s="894"/>
      <c r="AW25" s="867">
        <f t="shared" si="2"/>
        <v>1230.4399999999998</v>
      </c>
      <c r="AX25" s="893">
        <f t="shared" si="3"/>
        <v>7069</v>
      </c>
      <c r="AY25" s="869"/>
      <c r="AZ25" s="894"/>
      <c r="BA25" s="865">
        <f t="shared" si="0"/>
        <v>1230.4399999999998</v>
      </c>
      <c r="BB25" s="866">
        <f t="shared" si="1"/>
        <v>7069</v>
      </c>
    </row>
    <row r="26" spans="1:54" ht="17.25" x14ac:dyDescent="0.35">
      <c r="A26" s="365" t="s">
        <v>388</v>
      </c>
      <c r="B26" s="418"/>
      <c r="C26" s="877"/>
      <c r="D26" s="889"/>
      <c r="E26" s="892"/>
      <c r="F26" s="894"/>
      <c r="G26" s="869"/>
      <c r="H26" s="894"/>
      <c r="I26" s="869"/>
      <c r="J26" s="894"/>
      <c r="K26" s="869"/>
      <c r="L26" s="894"/>
      <c r="M26" s="869"/>
      <c r="N26" s="902"/>
      <c r="O26" s="904"/>
      <c r="P26" s="894"/>
      <c r="Q26" s="869"/>
      <c r="R26" s="89"/>
      <c r="S26" s="6"/>
      <c r="T26" s="894"/>
      <c r="U26" s="869"/>
      <c r="V26" s="894"/>
      <c r="W26" s="869"/>
      <c r="X26" s="894"/>
      <c r="Y26" s="869"/>
      <c r="Z26" s="894"/>
      <c r="AA26" s="869"/>
      <c r="AB26" s="910"/>
      <c r="AC26" s="914"/>
      <c r="AD26" s="894"/>
      <c r="AE26" s="869"/>
      <c r="AF26" s="918"/>
      <c r="AG26" s="919"/>
      <c r="AH26" s="894"/>
      <c r="AI26" s="869"/>
      <c r="AJ26" s="894"/>
      <c r="AK26" s="869"/>
      <c r="AL26" s="894"/>
      <c r="AM26" s="869"/>
      <c r="AN26" s="920"/>
      <c r="AO26" s="922"/>
      <c r="AP26" s="927"/>
      <c r="AQ26" s="930">
        <v>145.61000000000001</v>
      </c>
      <c r="AR26" s="931"/>
      <c r="AS26" s="870"/>
      <c r="AT26" s="1058"/>
      <c r="AU26" s="916"/>
      <c r="AV26" s="894"/>
      <c r="AW26" s="867"/>
      <c r="AX26" s="893"/>
      <c r="AY26" s="869"/>
      <c r="AZ26" s="894"/>
      <c r="BA26" s="865"/>
      <c r="BB26" s="866"/>
    </row>
    <row r="27" spans="1:54" ht="17.25" x14ac:dyDescent="0.35">
      <c r="A27" s="365" t="s">
        <v>247</v>
      </c>
      <c r="B27" s="418"/>
      <c r="C27" s="877">
        <v>3904.63</v>
      </c>
      <c r="D27" s="887">
        <v>4457</v>
      </c>
      <c r="E27" s="891"/>
      <c r="F27" s="893"/>
      <c r="G27" s="867"/>
      <c r="H27" s="893"/>
      <c r="I27" s="867"/>
      <c r="J27" s="893"/>
      <c r="K27" s="867">
        <v>541.74</v>
      </c>
      <c r="L27" s="893"/>
      <c r="M27" s="867"/>
      <c r="N27" s="901"/>
      <c r="O27" s="903"/>
      <c r="P27" s="893"/>
      <c r="Q27" s="867"/>
      <c r="R27" s="199"/>
      <c r="S27" s="1"/>
      <c r="T27" s="893"/>
      <c r="U27" s="867"/>
      <c r="V27" s="893"/>
      <c r="W27" s="867">
        <v>27439.31</v>
      </c>
      <c r="X27" s="893">
        <v>18450</v>
      </c>
      <c r="Y27" s="867"/>
      <c r="Z27" s="893"/>
      <c r="AA27" s="867"/>
      <c r="AB27" s="910"/>
      <c r="AC27" s="914"/>
      <c r="AD27" s="893"/>
      <c r="AE27" s="867">
        <v>17257.93</v>
      </c>
      <c r="AF27" s="893">
        <v>13478</v>
      </c>
      <c r="AG27" s="867"/>
      <c r="AH27" s="893"/>
      <c r="AI27" s="867">
        <v>3647</v>
      </c>
      <c r="AJ27" s="893">
        <v>2098</v>
      </c>
      <c r="AK27" s="867"/>
      <c r="AL27" s="893"/>
      <c r="AM27" s="867"/>
      <c r="AN27" s="920"/>
      <c r="AO27" s="922"/>
      <c r="AP27" s="925"/>
      <c r="AQ27" s="877">
        <v>3256.47</v>
      </c>
      <c r="AR27" s="931">
        <v>817</v>
      </c>
      <c r="AS27" s="870">
        <v>1084.47</v>
      </c>
      <c r="AT27" s="1058">
        <v>1079</v>
      </c>
      <c r="AU27" s="916">
        <v>-33811.96</v>
      </c>
      <c r="AV27" s="893">
        <v>-1377</v>
      </c>
      <c r="AW27" s="867">
        <f t="shared" si="2"/>
        <v>23319.590000000004</v>
      </c>
      <c r="AX27" s="893">
        <f t="shared" si="3"/>
        <v>39002</v>
      </c>
      <c r="AY27" s="869">
        <v>798776.03</v>
      </c>
      <c r="AZ27" s="912">
        <v>787862</v>
      </c>
      <c r="BA27" s="865">
        <f t="shared" si="0"/>
        <v>822095.62</v>
      </c>
      <c r="BB27" s="866">
        <f t="shared" si="1"/>
        <v>826864</v>
      </c>
    </row>
    <row r="28" spans="1:54" ht="17.25" x14ac:dyDescent="0.35">
      <c r="A28" s="365" t="s">
        <v>248</v>
      </c>
      <c r="B28" s="418"/>
      <c r="C28" s="877"/>
      <c r="D28" s="887"/>
      <c r="E28" s="891"/>
      <c r="F28" s="893"/>
      <c r="G28" s="867"/>
      <c r="H28" s="893"/>
      <c r="I28" s="867"/>
      <c r="J28" s="893"/>
      <c r="K28" s="867"/>
      <c r="L28" s="893"/>
      <c r="M28" s="867"/>
      <c r="N28" s="901"/>
      <c r="O28" s="903"/>
      <c r="P28" s="893"/>
      <c r="Q28" s="867"/>
      <c r="R28" s="199"/>
      <c r="S28" s="1"/>
      <c r="T28" s="893"/>
      <c r="U28" s="867"/>
      <c r="V28" s="893"/>
      <c r="W28" s="867"/>
      <c r="X28" s="893"/>
      <c r="Y28" s="867"/>
      <c r="Z28" s="893"/>
      <c r="AA28" s="867"/>
      <c r="AB28" s="910"/>
      <c r="AC28" s="914"/>
      <c r="AD28" s="893"/>
      <c r="AE28" s="867"/>
      <c r="AF28" s="893"/>
      <c r="AG28" s="867"/>
      <c r="AH28" s="893"/>
      <c r="AI28" s="867"/>
      <c r="AJ28" s="893"/>
      <c r="AK28" s="867"/>
      <c r="AL28" s="893"/>
      <c r="AM28" s="867"/>
      <c r="AN28" s="920"/>
      <c r="AO28" s="922">
        <v>9755.8799999999992</v>
      </c>
      <c r="AP28" s="924">
        <v>12616</v>
      </c>
      <c r="AQ28" s="928"/>
      <c r="AR28" s="931"/>
      <c r="AS28" s="870"/>
      <c r="AT28" s="1058"/>
      <c r="AU28" s="916"/>
      <c r="AV28" s="893"/>
      <c r="AW28" s="867">
        <f t="shared" si="2"/>
        <v>9755.8799999999992</v>
      </c>
      <c r="AX28" s="893">
        <f t="shared" si="3"/>
        <v>12616</v>
      </c>
      <c r="AY28" s="869"/>
      <c r="AZ28" s="912"/>
      <c r="BA28" s="865">
        <f t="shared" si="0"/>
        <v>9755.8799999999992</v>
      </c>
      <c r="BB28" s="866">
        <f t="shared" si="1"/>
        <v>12616</v>
      </c>
    </row>
    <row r="29" spans="1:54" ht="17.25" x14ac:dyDescent="0.35">
      <c r="A29" s="365" t="s">
        <v>249</v>
      </c>
      <c r="B29" s="418"/>
      <c r="C29" s="877"/>
      <c r="D29" s="887"/>
      <c r="E29" s="891"/>
      <c r="F29" s="893"/>
      <c r="G29" s="867"/>
      <c r="H29" s="893"/>
      <c r="I29" s="867"/>
      <c r="J29" s="893"/>
      <c r="K29" s="867"/>
      <c r="L29" s="893"/>
      <c r="M29" s="867"/>
      <c r="N29" s="901"/>
      <c r="O29" s="903"/>
      <c r="P29" s="893"/>
      <c r="Q29" s="867"/>
      <c r="R29" s="199"/>
      <c r="S29" s="1"/>
      <c r="T29" s="893"/>
      <c r="U29" s="867"/>
      <c r="V29" s="893"/>
      <c r="W29" s="867"/>
      <c r="X29" s="893"/>
      <c r="Y29" s="867"/>
      <c r="Z29" s="893"/>
      <c r="AA29" s="867"/>
      <c r="AB29" s="910"/>
      <c r="AC29" s="914"/>
      <c r="AD29" s="893"/>
      <c r="AE29" s="867"/>
      <c r="AF29" s="893"/>
      <c r="AG29" s="867"/>
      <c r="AH29" s="893"/>
      <c r="AI29" s="867"/>
      <c r="AJ29" s="893"/>
      <c r="AK29" s="867"/>
      <c r="AL29" s="893"/>
      <c r="AM29" s="867"/>
      <c r="AN29" s="920"/>
      <c r="AO29" s="922"/>
      <c r="AP29" s="925"/>
      <c r="AQ29" s="877">
        <v>-138.19</v>
      </c>
      <c r="AR29" s="931"/>
      <c r="AS29" s="870"/>
      <c r="AT29" s="1058"/>
      <c r="AU29" s="916"/>
      <c r="AV29" s="893"/>
      <c r="AW29" s="867">
        <f t="shared" si="2"/>
        <v>-138.19</v>
      </c>
      <c r="AX29" s="893">
        <f t="shared" si="3"/>
        <v>0</v>
      </c>
      <c r="AY29" s="869"/>
      <c r="AZ29" s="912"/>
      <c r="BA29" s="865">
        <f t="shared" si="0"/>
        <v>-138.19</v>
      </c>
      <c r="BB29" s="866">
        <f t="shared" si="1"/>
        <v>0</v>
      </c>
    </row>
    <row r="30" spans="1:54" ht="17.25" x14ac:dyDescent="0.35">
      <c r="A30" s="365" t="s">
        <v>250</v>
      </c>
      <c r="B30" s="418"/>
      <c r="C30" s="877">
        <v>458.18</v>
      </c>
      <c r="D30" s="887">
        <v>98</v>
      </c>
      <c r="E30" s="891"/>
      <c r="F30" s="893">
        <v>-125</v>
      </c>
      <c r="G30" s="867">
        <v>-146.36000000000001</v>
      </c>
      <c r="H30" s="893"/>
      <c r="I30" s="867">
        <v>-6982.64</v>
      </c>
      <c r="J30" s="893"/>
      <c r="K30" s="867"/>
      <c r="L30" s="893"/>
      <c r="M30" s="867"/>
      <c r="N30" s="901"/>
      <c r="O30" s="903">
        <v>91500</v>
      </c>
      <c r="P30" s="893"/>
      <c r="Q30" s="867"/>
      <c r="R30" s="199">
        <v>-614</v>
      </c>
      <c r="S30" s="1">
        <v>375</v>
      </c>
      <c r="T30" s="893"/>
      <c r="U30" s="867">
        <v>1600</v>
      </c>
      <c r="V30" s="893">
        <v>-500</v>
      </c>
      <c r="W30" s="867">
        <v>-19052.580000000002</v>
      </c>
      <c r="X30" s="893">
        <v>-25576</v>
      </c>
      <c r="Y30" s="867">
        <v>2012.34</v>
      </c>
      <c r="Z30" s="893">
        <v>2332</v>
      </c>
      <c r="AA30" s="867">
        <v>608.37</v>
      </c>
      <c r="AB30" s="910">
        <v>-422</v>
      </c>
      <c r="AC30" s="914">
        <v>-233.14</v>
      </c>
      <c r="AD30" s="893">
        <v>-110</v>
      </c>
      <c r="AE30" s="867">
        <v>-615.89</v>
      </c>
      <c r="AF30" s="893">
        <v>-2481</v>
      </c>
      <c r="AG30" s="867">
        <v>16423.240000000002</v>
      </c>
      <c r="AH30" s="893">
        <v>5170</v>
      </c>
      <c r="AI30" s="867"/>
      <c r="AJ30" s="893"/>
      <c r="AK30" s="867"/>
      <c r="AL30" s="893">
        <v>-6468</v>
      </c>
      <c r="AM30" s="867"/>
      <c r="AN30" s="920"/>
      <c r="AO30" s="922">
        <v>-17111.02</v>
      </c>
      <c r="AP30" s="924">
        <v>6315</v>
      </c>
      <c r="AQ30" s="928"/>
      <c r="AR30" s="931"/>
      <c r="AS30" s="870">
        <v>2466</v>
      </c>
      <c r="AT30" s="1058">
        <v>-3980</v>
      </c>
      <c r="AU30" s="916"/>
      <c r="AV30" s="893">
        <v>-118</v>
      </c>
      <c r="AW30" s="867">
        <f t="shared" si="2"/>
        <v>71301.499999999985</v>
      </c>
      <c r="AX30" s="893">
        <f t="shared" si="3"/>
        <v>-26479</v>
      </c>
      <c r="AY30" s="869">
        <v>453177.06</v>
      </c>
      <c r="AZ30" s="912">
        <v>-303891</v>
      </c>
      <c r="BA30" s="865">
        <f t="shared" si="0"/>
        <v>524478.55999999994</v>
      </c>
      <c r="BB30" s="866">
        <f t="shared" si="1"/>
        <v>-330370</v>
      </c>
    </row>
    <row r="31" spans="1:54" ht="17.25" x14ac:dyDescent="0.35">
      <c r="A31" s="365" t="s">
        <v>251</v>
      </c>
      <c r="B31" s="418"/>
      <c r="C31" s="877">
        <v>-1.63</v>
      </c>
      <c r="D31" s="889">
        <v>-2</v>
      </c>
      <c r="E31" s="892"/>
      <c r="F31" s="894"/>
      <c r="G31" s="869"/>
      <c r="H31" s="894"/>
      <c r="I31" s="869">
        <v>80.319999999999993</v>
      </c>
      <c r="J31" s="894"/>
      <c r="K31" s="869"/>
      <c r="L31" s="894"/>
      <c r="M31" s="869"/>
      <c r="N31" s="902"/>
      <c r="O31" s="904"/>
      <c r="P31" s="894"/>
      <c r="Q31" s="869"/>
      <c r="R31" s="89"/>
      <c r="S31" s="6"/>
      <c r="T31" s="894"/>
      <c r="U31" s="869"/>
      <c r="V31" s="894"/>
      <c r="W31" s="869"/>
      <c r="X31" s="894"/>
      <c r="Y31" s="869"/>
      <c r="Z31" s="894"/>
      <c r="AA31" s="869"/>
      <c r="AB31" s="910"/>
      <c r="AC31" s="914"/>
      <c r="AD31" s="894"/>
      <c r="AE31" s="869">
        <v>-18.09</v>
      </c>
      <c r="AF31" s="918"/>
      <c r="AG31" s="919"/>
      <c r="AH31" s="894"/>
      <c r="AI31" s="869"/>
      <c r="AJ31" s="894"/>
      <c r="AK31" s="869"/>
      <c r="AL31" s="894"/>
      <c r="AM31" s="869"/>
      <c r="AN31" s="920"/>
      <c r="AO31" s="922">
        <v>-19.329999999999998</v>
      </c>
      <c r="AP31" s="927">
        <v>-5278</v>
      </c>
      <c r="AQ31" s="930"/>
      <c r="AR31" s="931"/>
      <c r="AS31" s="870"/>
      <c r="AT31" s="1058"/>
      <c r="AU31" s="916"/>
      <c r="AV31" s="894"/>
      <c r="AW31" s="867">
        <f t="shared" si="2"/>
        <v>41.269999999999996</v>
      </c>
      <c r="AX31" s="893">
        <f t="shared" si="3"/>
        <v>-5280</v>
      </c>
      <c r="AY31" s="869">
        <v>-848913</v>
      </c>
      <c r="AZ31" s="894">
        <v>-504011</v>
      </c>
      <c r="BA31" s="865">
        <f t="shared" si="0"/>
        <v>-848871.73</v>
      </c>
      <c r="BB31" s="866">
        <f t="shared" si="1"/>
        <v>-509291</v>
      </c>
    </row>
    <row r="32" spans="1:54" ht="17.25" x14ac:dyDescent="0.35">
      <c r="A32" s="365" t="s">
        <v>376</v>
      </c>
      <c r="B32" s="418"/>
      <c r="C32" s="877"/>
      <c r="D32" s="889"/>
      <c r="E32" s="892"/>
      <c r="F32" s="894"/>
      <c r="G32" s="869"/>
      <c r="H32" s="894"/>
      <c r="I32" s="869"/>
      <c r="J32" s="894"/>
      <c r="K32" s="869"/>
      <c r="L32" s="894"/>
      <c r="M32" s="869"/>
      <c r="N32" s="902">
        <v>375</v>
      </c>
      <c r="O32" s="904"/>
      <c r="P32" s="894"/>
      <c r="Q32" s="869"/>
      <c r="R32" s="89"/>
      <c r="S32" s="6"/>
      <c r="T32" s="894"/>
      <c r="U32" s="869"/>
      <c r="V32" s="894"/>
      <c r="W32" s="869">
        <v>198.22</v>
      </c>
      <c r="X32" s="894">
        <v>235</v>
      </c>
      <c r="Y32" s="869"/>
      <c r="Z32" s="894"/>
      <c r="AA32" s="869"/>
      <c r="AB32" s="910"/>
      <c r="AC32" s="914"/>
      <c r="AD32" s="894"/>
      <c r="AE32" s="869"/>
      <c r="AF32" s="918"/>
      <c r="AG32" s="919"/>
      <c r="AH32" s="894"/>
      <c r="AI32" s="869">
        <v>130</v>
      </c>
      <c r="AJ32" s="894">
        <v>363</v>
      </c>
      <c r="AK32" s="869"/>
      <c r="AL32" s="894"/>
      <c r="AM32" s="869"/>
      <c r="AN32" s="920"/>
      <c r="AO32" s="922"/>
      <c r="AP32" s="927"/>
      <c r="AQ32" s="930"/>
      <c r="AR32" s="931"/>
      <c r="AS32" s="870"/>
      <c r="AT32" s="1058"/>
      <c r="AU32" s="916"/>
      <c r="AV32" s="894"/>
      <c r="AW32" s="867">
        <f t="shared" si="2"/>
        <v>328.22</v>
      </c>
      <c r="AX32" s="893">
        <f t="shared" si="3"/>
        <v>973</v>
      </c>
      <c r="AY32" s="869"/>
      <c r="AZ32" s="894"/>
      <c r="BA32" s="865">
        <f t="shared" si="0"/>
        <v>328.22</v>
      </c>
      <c r="BB32" s="866">
        <f t="shared" si="1"/>
        <v>973</v>
      </c>
    </row>
    <row r="33" spans="1:54" ht="17.25" x14ac:dyDescent="0.35">
      <c r="A33" s="365" t="s">
        <v>252</v>
      </c>
      <c r="B33" s="418"/>
      <c r="C33" s="877">
        <v>11374.14</v>
      </c>
      <c r="D33" s="887">
        <v>12152</v>
      </c>
      <c r="E33" s="891"/>
      <c r="F33" s="893">
        <v>321</v>
      </c>
      <c r="G33" s="867">
        <v>1363.56</v>
      </c>
      <c r="H33" s="893"/>
      <c r="I33" s="867">
        <v>12338.03</v>
      </c>
      <c r="J33" s="893"/>
      <c r="K33" s="867"/>
      <c r="L33" s="893"/>
      <c r="M33" s="867">
        <v>5792.48</v>
      </c>
      <c r="N33" s="901">
        <v>6293</v>
      </c>
      <c r="O33" s="903">
        <v>14551</v>
      </c>
      <c r="P33" s="893"/>
      <c r="Q33" s="867">
        <v>693.52</v>
      </c>
      <c r="R33" s="199">
        <v>809</v>
      </c>
      <c r="S33" s="1">
        <v>492.19</v>
      </c>
      <c r="T33" s="893">
        <v>458</v>
      </c>
      <c r="U33" s="867">
        <v>381.5</v>
      </c>
      <c r="V33" s="893">
        <v>319</v>
      </c>
      <c r="W33" s="867">
        <v>35675.49</v>
      </c>
      <c r="X33" s="893">
        <v>36956</v>
      </c>
      <c r="Y33" s="867">
        <v>65463.77</v>
      </c>
      <c r="Z33" s="893">
        <v>69143</v>
      </c>
      <c r="AA33" s="867">
        <v>1665.18</v>
      </c>
      <c r="AB33" s="912">
        <v>1905</v>
      </c>
      <c r="AC33" s="916">
        <v>3179.39</v>
      </c>
      <c r="AD33" s="893">
        <v>3740</v>
      </c>
      <c r="AE33" s="867">
        <v>7030.52</v>
      </c>
      <c r="AF33" s="893">
        <v>8330</v>
      </c>
      <c r="AG33" s="867">
        <v>2184.77</v>
      </c>
      <c r="AH33" s="893">
        <v>18846</v>
      </c>
      <c r="AI33" s="867">
        <v>4546</v>
      </c>
      <c r="AJ33" s="893">
        <v>5231</v>
      </c>
      <c r="AK33" s="867">
        <v>3289.07</v>
      </c>
      <c r="AL33" s="893">
        <v>4427</v>
      </c>
      <c r="AM33" s="867"/>
      <c r="AN33" s="920"/>
      <c r="AO33" s="922">
        <v>64346.19</v>
      </c>
      <c r="AP33" s="924">
        <v>74198</v>
      </c>
      <c r="AQ33" s="928"/>
      <c r="AR33" s="931">
        <v>238</v>
      </c>
      <c r="AS33" s="870">
        <v>906.74</v>
      </c>
      <c r="AT33" s="1058">
        <v>1016</v>
      </c>
      <c r="AU33" s="916">
        <v>6730.65</v>
      </c>
      <c r="AV33" s="893">
        <v>9499</v>
      </c>
      <c r="AW33" s="867">
        <f t="shared" si="2"/>
        <v>242004.18999999997</v>
      </c>
      <c r="AX33" s="893">
        <f t="shared" si="3"/>
        <v>253881</v>
      </c>
      <c r="AY33" s="869">
        <v>9322.2199999999993</v>
      </c>
      <c r="AZ33" s="893">
        <v>9076</v>
      </c>
      <c r="BA33" s="865">
        <f t="shared" si="0"/>
        <v>251326.40999999997</v>
      </c>
      <c r="BB33" s="866">
        <f t="shared" si="1"/>
        <v>262957</v>
      </c>
    </row>
    <row r="34" spans="1:54" s="595" customFormat="1" ht="18" x14ac:dyDescent="0.35">
      <c r="A34" s="414" t="s">
        <v>253</v>
      </c>
      <c r="B34" s="594"/>
      <c r="C34" s="880">
        <v>202139.86</v>
      </c>
      <c r="D34" s="889">
        <v>228549</v>
      </c>
      <c r="E34" s="892">
        <v>18853.27</v>
      </c>
      <c r="F34" s="894">
        <v>16742</v>
      </c>
      <c r="G34" s="869">
        <v>32629.11</v>
      </c>
      <c r="H34" s="894"/>
      <c r="I34" s="869">
        <v>256368.64000000001</v>
      </c>
      <c r="J34" s="894"/>
      <c r="K34" s="869">
        <v>86443.96</v>
      </c>
      <c r="L34" s="894"/>
      <c r="M34" s="869">
        <v>93920.92</v>
      </c>
      <c r="N34" s="902">
        <v>112324</v>
      </c>
      <c r="O34" s="904">
        <v>2898508</v>
      </c>
      <c r="P34" s="894"/>
      <c r="Q34" s="869">
        <v>65645.210000000006</v>
      </c>
      <c r="R34" s="298">
        <v>64888</v>
      </c>
      <c r="S34" s="800">
        <v>88360.74</v>
      </c>
      <c r="T34" s="894">
        <v>93233</v>
      </c>
      <c r="U34" s="869">
        <v>61250.41</v>
      </c>
      <c r="V34" s="894">
        <v>55957</v>
      </c>
      <c r="W34" s="869">
        <v>673897.34</v>
      </c>
      <c r="X34" s="894">
        <v>785344</v>
      </c>
      <c r="Y34" s="869">
        <v>486690.73</v>
      </c>
      <c r="Z34" s="894">
        <v>606539</v>
      </c>
      <c r="AA34" s="869">
        <v>32876.54</v>
      </c>
      <c r="AB34" s="913">
        <v>36327</v>
      </c>
      <c r="AC34" s="917">
        <v>76229.88</v>
      </c>
      <c r="AD34" s="894">
        <v>99429</v>
      </c>
      <c r="AE34" s="869">
        <v>225623.67</v>
      </c>
      <c r="AF34" s="894">
        <v>244484</v>
      </c>
      <c r="AG34" s="869">
        <v>411773.09</v>
      </c>
      <c r="AH34" s="894">
        <v>466401</v>
      </c>
      <c r="AI34" s="869">
        <v>143065</v>
      </c>
      <c r="AJ34" s="894">
        <v>169262</v>
      </c>
      <c r="AK34" s="869">
        <v>122468.94</v>
      </c>
      <c r="AL34" s="894">
        <v>124256</v>
      </c>
      <c r="AM34" s="869"/>
      <c r="AN34" s="921"/>
      <c r="AO34" s="923">
        <v>476067.34</v>
      </c>
      <c r="AP34" s="926">
        <v>604177</v>
      </c>
      <c r="AQ34" s="929">
        <v>64691.39</v>
      </c>
      <c r="AR34" s="932">
        <v>65125</v>
      </c>
      <c r="AS34" s="933">
        <v>61698.19</v>
      </c>
      <c r="AT34" s="1060">
        <v>71509</v>
      </c>
      <c r="AU34" s="917">
        <v>252039.49</v>
      </c>
      <c r="AV34" s="894">
        <v>431674</v>
      </c>
      <c r="AW34" s="867">
        <f t="shared" si="2"/>
        <v>6831241.7199999997</v>
      </c>
      <c r="AX34" s="893">
        <f t="shared" si="3"/>
        <v>4276220</v>
      </c>
      <c r="AY34" s="869">
        <v>7023651.1799999997</v>
      </c>
      <c r="AZ34" s="894">
        <v>6065354</v>
      </c>
      <c r="BA34" s="865">
        <f t="shared" si="0"/>
        <v>13854892.899999999</v>
      </c>
      <c r="BB34" s="866">
        <f t="shared" si="1"/>
        <v>10341574</v>
      </c>
    </row>
    <row r="35" spans="1:54" ht="17.25" x14ac:dyDescent="0.35">
      <c r="A35" s="365" t="s">
        <v>254</v>
      </c>
      <c r="B35" s="414" t="s">
        <v>255</v>
      </c>
      <c r="C35" s="878">
        <v>478453.04</v>
      </c>
      <c r="D35" s="887">
        <v>675423</v>
      </c>
      <c r="E35" s="891">
        <v>30962.55</v>
      </c>
      <c r="F35" s="893">
        <v>39111</v>
      </c>
      <c r="G35" s="867">
        <v>99331.56</v>
      </c>
      <c r="H35" s="893"/>
      <c r="I35" s="867">
        <v>610825.12</v>
      </c>
      <c r="J35" s="893"/>
      <c r="K35" s="867">
        <v>55064.34</v>
      </c>
      <c r="L35" s="893"/>
      <c r="M35" s="867">
        <v>205366.62</v>
      </c>
      <c r="N35" s="901">
        <v>264375</v>
      </c>
      <c r="O35" s="903">
        <v>3856288</v>
      </c>
      <c r="P35" s="893"/>
      <c r="Q35" s="867">
        <v>16458.830000000002</v>
      </c>
      <c r="R35" s="199">
        <v>31956</v>
      </c>
      <c r="S35" s="1">
        <v>172104.37</v>
      </c>
      <c r="T35" s="893">
        <v>204448</v>
      </c>
      <c r="U35" s="867">
        <v>50192.03</v>
      </c>
      <c r="V35" s="893">
        <v>56059</v>
      </c>
      <c r="W35" s="867">
        <v>2178067.13</v>
      </c>
      <c r="X35" s="893">
        <v>3115134</v>
      </c>
      <c r="Y35" s="867">
        <v>2252466.23</v>
      </c>
      <c r="Z35" s="893">
        <v>2914530</v>
      </c>
      <c r="AA35" s="867">
        <v>95164.24</v>
      </c>
      <c r="AB35" s="912">
        <v>111597</v>
      </c>
      <c r="AC35" s="916">
        <v>332709.21000000002</v>
      </c>
      <c r="AD35" s="893">
        <v>400876</v>
      </c>
      <c r="AE35" s="867">
        <v>409990.14</v>
      </c>
      <c r="AF35" s="893">
        <v>581793</v>
      </c>
      <c r="AG35" s="867">
        <v>699822.13</v>
      </c>
      <c r="AH35" s="893">
        <v>927347</v>
      </c>
      <c r="AI35" s="867">
        <v>250844</v>
      </c>
      <c r="AJ35" s="893">
        <v>300065</v>
      </c>
      <c r="AK35" s="867">
        <v>277675.15999999997</v>
      </c>
      <c r="AL35" s="893">
        <v>309943</v>
      </c>
      <c r="AM35" s="867"/>
      <c r="AN35" s="920"/>
      <c r="AO35" s="922">
        <v>2149287.5499999998</v>
      </c>
      <c r="AP35" s="924">
        <v>3123808</v>
      </c>
      <c r="AQ35" s="928">
        <v>55833.120000000003</v>
      </c>
      <c r="AR35" s="931">
        <v>86932</v>
      </c>
      <c r="AS35" s="870">
        <v>113700.33</v>
      </c>
      <c r="AT35" s="1058">
        <v>168032</v>
      </c>
      <c r="AU35" s="916">
        <v>277651.27</v>
      </c>
      <c r="AV35" s="893">
        <v>411829</v>
      </c>
      <c r="AW35" s="867">
        <f t="shared" si="2"/>
        <v>14668256.970000003</v>
      </c>
      <c r="AX35" s="893">
        <f t="shared" si="3"/>
        <v>13723258</v>
      </c>
      <c r="AY35" s="869">
        <v>28465473.32</v>
      </c>
      <c r="AZ35" s="893">
        <v>35343758</v>
      </c>
      <c r="BA35" s="865">
        <f t="shared" si="0"/>
        <v>43133730.290000007</v>
      </c>
      <c r="BB35" s="866">
        <f t="shared" si="1"/>
        <v>49067016</v>
      </c>
    </row>
    <row r="36" spans="1:54" ht="17.25" x14ac:dyDescent="0.35">
      <c r="A36" s="365" t="s">
        <v>256</v>
      </c>
      <c r="B36" s="418"/>
      <c r="C36" s="877"/>
      <c r="D36" s="887">
        <v>1055</v>
      </c>
      <c r="E36" s="891">
        <v>8.1</v>
      </c>
      <c r="F36" s="893">
        <v>15</v>
      </c>
      <c r="G36" s="867">
        <v>56.52</v>
      </c>
      <c r="H36" s="893"/>
      <c r="I36" s="867">
        <v>14905.19</v>
      </c>
      <c r="J36" s="893"/>
      <c r="K36" s="867">
        <v>1872.17</v>
      </c>
      <c r="L36" s="893"/>
      <c r="M36" s="867">
        <v>46040</v>
      </c>
      <c r="N36" s="901">
        <v>877</v>
      </c>
      <c r="O36" s="903">
        <v>232</v>
      </c>
      <c r="P36" s="893"/>
      <c r="Q36" s="867">
        <v>2.39</v>
      </c>
      <c r="R36" s="199">
        <v>4</v>
      </c>
      <c r="S36" s="1">
        <v>366.37</v>
      </c>
      <c r="T36" s="893">
        <f>474+3020</f>
        <v>3494</v>
      </c>
      <c r="U36" s="867">
        <v>186.97</v>
      </c>
      <c r="V36" s="893">
        <v>347</v>
      </c>
      <c r="W36" s="867">
        <f>20181.82+59228.21</f>
        <v>79410.03</v>
      </c>
      <c r="X36" s="893">
        <v>71241</v>
      </c>
      <c r="Y36" s="867">
        <v>11623.11</v>
      </c>
      <c r="Z36" s="893">
        <v>21354</v>
      </c>
      <c r="AA36" s="867">
        <v>9.81</v>
      </c>
      <c r="AB36" s="912">
        <v>119</v>
      </c>
      <c r="AC36" s="916"/>
      <c r="AD36" s="893"/>
      <c r="AE36" s="867">
        <v>5020.8</v>
      </c>
      <c r="AF36" s="893">
        <v>6825</v>
      </c>
      <c r="AG36" s="867">
        <v>287.63</v>
      </c>
      <c r="AH36" s="893">
        <v>378</v>
      </c>
      <c r="AI36" s="867">
        <v>319</v>
      </c>
      <c r="AJ36" s="893">
        <v>414</v>
      </c>
      <c r="AK36" s="867">
        <v>37.869999999999997</v>
      </c>
      <c r="AL36" s="893">
        <v>51</v>
      </c>
      <c r="AM36" s="867"/>
      <c r="AN36" s="920"/>
      <c r="AO36" s="922">
        <v>8977.09</v>
      </c>
      <c r="AP36" s="924">
        <v>10174</v>
      </c>
      <c r="AQ36" s="928">
        <v>37.659999999999997</v>
      </c>
      <c r="AR36" s="931">
        <v>39</v>
      </c>
      <c r="AS36" s="870">
        <v>2.3199999999999998</v>
      </c>
      <c r="AT36" s="1058">
        <v>3</v>
      </c>
      <c r="AU36" s="916"/>
      <c r="AV36" s="893"/>
      <c r="AW36" s="867">
        <f t="shared" si="2"/>
        <v>169395.02999999997</v>
      </c>
      <c r="AX36" s="893">
        <f t="shared" si="3"/>
        <v>116390</v>
      </c>
      <c r="AY36" s="869">
        <v>222907.33</v>
      </c>
      <c r="AZ36" s="893">
        <v>402730</v>
      </c>
      <c r="BA36" s="865">
        <f t="shared" si="0"/>
        <v>392302.36</v>
      </c>
      <c r="BB36" s="866">
        <f t="shared" si="1"/>
        <v>519120</v>
      </c>
    </row>
    <row r="37" spans="1:54" ht="17.25" x14ac:dyDescent="0.35">
      <c r="A37" s="365" t="s">
        <v>257</v>
      </c>
      <c r="B37" s="418"/>
      <c r="C37" s="877">
        <v>677.16</v>
      </c>
      <c r="D37" s="889"/>
      <c r="E37" s="892"/>
      <c r="F37" s="894"/>
      <c r="G37" s="869"/>
      <c r="H37" s="894"/>
      <c r="I37" s="869"/>
      <c r="J37" s="894"/>
      <c r="K37" s="869"/>
      <c r="L37" s="894"/>
      <c r="M37" s="869"/>
      <c r="N37" s="902"/>
      <c r="O37" s="904"/>
      <c r="P37" s="894"/>
      <c r="Q37" s="869"/>
      <c r="R37" s="89"/>
      <c r="S37" s="6"/>
      <c r="T37" s="894"/>
      <c r="U37" s="869"/>
      <c r="V37" s="894"/>
      <c r="W37" s="869"/>
      <c r="X37" s="894"/>
      <c r="Y37" s="869"/>
      <c r="Z37" s="894"/>
      <c r="AA37" s="869"/>
      <c r="AB37" s="910"/>
      <c r="AC37" s="914"/>
      <c r="AD37" s="894"/>
      <c r="AE37" s="869"/>
      <c r="AF37" s="918"/>
      <c r="AG37" s="919"/>
      <c r="AH37" s="894"/>
      <c r="AI37" s="869"/>
      <c r="AJ37" s="894"/>
      <c r="AK37" s="869"/>
      <c r="AL37" s="894"/>
      <c r="AM37" s="869"/>
      <c r="AN37" s="920"/>
      <c r="AO37" s="922"/>
      <c r="AP37" s="925"/>
      <c r="AQ37" s="877"/>
      <c r="AR37" s="931"/>
      <c r="AS37" s="870"/>
      <c r="AT37" s="1058"/>
      <c r="AU37" s="916"/>
      <c r="AV37" s="894"/>
      <c r="AW37" s="867">
        <f t="shared" si="2"/>
        <v>677.16</v>
      </c>
      <c r="AX37" s="893">
        <f t="shared" si="3"/>
        <v>0</v>
      </c>
      <c r="AY37" s="869"/>
      <c r="AZ37" s="894"/>
      <c r="BA37" s="865">
        <f t="shared" si="0"/>
        <v>677.16</v>
      </c>
      <c r="BB37" s="866">
        <f t="shared" si="1"/>
        <v>0</v>
      </c>
    </row>
    <row r="38" spans="1:54" ht="17.25" x14ac:dyDescent="0.35">
      <c r="A38" s="365" t="s">
        <v>258</v>
      </c>
      <c r="B38" s="418"/>
      <c r="C38" s="877">
        <v>549016.06999999995</v>
      </c>
      <c r="D38" s="887">
        <v>619374</v>
      </c>
      <c r="E38" s="891">
        <f>33239.4+24333.15</f>
        <v>57572.55</v>
      </c>
      <c r="F38" s="893">
        <v>50326</v>
      </c>
      <c r="G38" s="867">
        <v>160271.20000000001</v>
      </c>
      <c r="H38" s="893"/>
      <c r="I38" s="867">
        <v>545250.27</v>
      </c>
      <c r="J38" s="893"/>
      <c r="K38" s="867">
        <v>204972.86</v>
      </c>
      <c r="L38" s="893"/>
      <c r="M38" s="867">
        <v>595183.07999999996</v>
      </c>
      <c r="N38" s="901">
        <v>332623</v>
      </c>
      <c r="O38" s="903">
        <v>5808984</v>
      </c>
      <c r="P38" s="893"/>
      <c r="Q38" s="867">
        <v>131183.14000000001</v>
      </c>
      <c r="R38" s="199">
        <v>120525</v>
      </c>
      <c r="S38" s="1">
        <v>241353.60000000001</v>
      </c>
      <c r="T38" s="893">
        <v>201840</v>
      </c>
      <c r="U38" s="867">
        <f>11080.23+64769.08</f>
        <v>75849.31</v>
      </c>
      <c r="V38" s="893">
        <v>89179</v>
      </c>
      <c r="W38" s="867">
        <v>2131930.4900000002</v>
      </c>
      <c r="X38" s="893">
        <v>2148460</v>
      </c>
      <c r="Y38" s="867">
        <v>1476413.37</v>
      </c>
      <c r="Z38" s="893">
        <v>970374</v>
      </c>
      <c r="AA38" s="867">
        <v>216231.97</v>
      </c>
      <c r="AB38" s="910">
        <v>113672</v>
      </c>
      <c r="AC38" s="914">
        <v>29913.64</v>
      </c>
      <c r="AD38" s="893">
        <v>60865</v>
      </c>
      <c r="AE38" s="867">
        <v>461043.14</v>
      </c>
      <c r="AF38" s="893">
        <v>564615</v>
      </c>
      <c r="AG38" s="867">
        <v>996294.86</v>
      </c>
      <c r="AH38" s="893">
        <v>1218230</v>
      </c>
      <c r="AI38" s="867">
        <v>370800</v>
      </c>
      <c r="AJ38" s="893">
        <v>461829</v>
      </c>
      <c r="AK38" s="867">
        <f>170015.6+210785.22</f>
        <v>380800.82</v>
      </c>
      <c r="AL38" s="893">
        <v>218074</v>
      </c>
      <c r="AM38" s="867"/>
      <c r="AN38" s="920"/>
      <c r="AO38" s="922">
        <v>1631726</v>
      </c>
      <c r="AP38" s="924">
        <v>1739337</v>
      </c>
      <c r="AQ38" s="928">
        <v>124514.68</v>
      </c>
      <c r="AR38" s="931">
        <v>144356</v>
      </c>
      <c r="AS38" s="870">
        <v>197740.7</v>
      </c>
      <c r="AT38" s="1058">
        <v>257487</v>
      </c>
      <c r="AU38" s="916">
        <f>924204.25+693216.69</f>
        <v>1617420.94</v>
      </c>
      <c r="AV38" s="893">
        <v>729741</v>
      </c>
      <c r="AW38" s="867">
        <f t="shared" si="2"/>
        <v>18004466.690000001</v>
      </c>
      <c r="AX38" s="893">
        <f t="shared" si="3"/>
        <v>10040907</v>
      </c>
      <c r="AY38" s="869">
        <v>32175278.879999999</v>
      </c>
      <c r="AZ38" s="893">
        <v>30628848</v>
      </c>
      <c r="BA38" s="865">
        <f t="shared" si="0"/>
        <v>50179745.57</v>
      </c>
      <c r="BB38" s="866">
        <f t="shared" si="1"/>
        <v>40669755</v>
      </c>
    </row>
    <row r="39" spans="1:54" ht="17.25" x14ac:dyDescent="0.35">
      <c r="A39" s="365" t="s">
        <v>259</v>
      </c>
      <c r="B39" s="418"/>
      <c r="C39" s="877">
        <v>-12832.21</v>
      </c>
      <c r="D39" s="887">
        <v>-43991</v>
      </c>
      <c r="E39" s="891">
        <v>-3605.8</v>
      </c>
      <c r="F39" s="893">
        <v>-8044</v>
      </c>
      <c r="G39" s="867">
        <v>-7774.43</v>
      </c>
      <c r="H39" s="893"/>
      <c r="I39" s="867">
        <v>-8388.7800000000007</v>
      </c>
      <c r="J39" s="893"/>
      <c r="K39" s="867">
        <v>-2669</v>
      </c>
      <c r="L39" s="893"/>
      <c r="M39" s="867">
        <v>-10267.82</v>
      </c>
      <c r="N39" s="901">
        <v>1652</v>
      </c>
      <c r="O39" s="903">
        <v>285179</v>
      </c>
      <c r="P39" s="893"/>
      <c r="Q39" s="867">
        <v>-4485.97</v>
      </c>
      <c r="R39" s="199">
        <v>-163</v>
      </c>
      <c r="S39" s="1">
        <v>-13224</v>
      </c>
      <c r="T39" s="893">
        <v>-7058</v>
      </c>
      <c r="U39" s="867">
        <v>144.49</v>
      </c>
      <c r="V39" s="893">
        <v>-9859</v>
      </c>
      <c r="W39" s="867">
        <v>-106709.85</v>
      </c>
      <c r="X39" s="893">
        <v>-266512</v>
      </c>
      <c r="Y39" s="867">
        <v>-190419.85</v>
      </c>
      <c r="Z39" s="893">
        <v>376286</v>
      </c>
      <c r="AA39" s="867">
        <v>-13473.17</v>
      </c>
      <c r="AB39" s="910">
        <v>87</v>
      </c>
      <c r="AC39" s="914"/>
      <c r="AD39" s="893"/>
      <c r="AE39" s="867">
        <v>-13781.58</v>
      </c>
      <c r="AF39" s="893">
        <v>-31193</v>
      </c>
      <c r="AG39" s="867">
        <v>804926.97</v>
      </c>
      <c r="AH39" s="893">
        <v>-79374</v>
      </c>
      <c r="AI39" s="867">
        <v>-11244</v>
      </c>
      <c r="AJ39" s="893">
        <v>-44669</v>
      </c>
      <c r="AK39" s="867"/>
      <c r="AL39" s="893"/>
      <c r="AM39" s="867"/>
      <c r="AN39" s="920"/>
      <c r="AO39" s="922">
        <v>-4629.16</v>
      </c>
      <c r="AP39" s="924">
        <v>-10164</v>
      </c>
      <c r="AQ39" s="928"/>
      <c r="AR39" s="931"/>
      <c r="AS39" s="870">
        <v>-2059.94</v>
      </c>
      <c r="AT39" s="1058">
        <v>-2629</v>
      </c>
      <c r="AU39" s="916">
        <v>-234218.89</v>
      </c>
      <c r="AV39" s="893">
        <v>-29709</v>
      </c>
      <c r="AW39" s="867">
        <f t="shared" si="2"/>
        <v>450466.01</v>
      </c>
      <c r="AX39" s="893">
        <f t="shared" si="3"/>
        <v>-155340</v>
      </c>
      <c r="AY39" s="869"/>
      <c r="AZ39" s="893"/>
      <c r="BA39" s="865">
        <f t="shared" si="0"/>
        <v>450466.01</v>
      </c>
      <c r="BB39" s="866">
        <f t="shared" si="1"/>
        <v>-155340</v>
      </c>
    </row>
    <row r="40" spans="1:54" ht="17.25" x14ac:dyDescent="0.35">
      <c r="A40" s="365" t="s">
        <v>260</v>
      </c>
      <c r="B40" s="418"/>
      <c r="C40" s="877"/>
      <c r="D40" s="887"/>
      <c r="E40" s="891"/>
      <c r="F40" s="893"/>
      <c r="G40" s="867"/>
      <c r="H40" s="893"/>
      <c r="I40" s="867"/>
      <c r="J40" s="893"/>
      <c r="K40" s="867"/>
      <c r="L40" s="893"/>
      <c r="M40" s="867"/>
      <c r="N40" s="901"/>
      <c r="O40" s="903"/>
      <c r="P40" s="893"/>
      <c r="Q40" s="867"/>
      <c r="R40" s="199"/>
      <c r="S40" s="1"/>
      <c r="T40" s="893"/>
      <c r="U40" s="867"/>
      <c r="V40" s="893"/>
      <c r="W40" s="867"/>
      <c r="X40" s="893"/>
      <c r="Y40" s="867"/>
      <c r="Z40" s="893"/>
      <c r="AA40" s="867"/>
      <c r="AB40" s="910"/>
      <c r="AC40" s="914"/>
      <c r="AD40" s="893"/>
      <c r="AE40" s="867"/>
      <c r="AF40" s="893"/>
      <c r="AG40" s="867"/>
      <c r="AH40" s="893"/>
      <c r="AI40" s="867"/>
      <c r="AJ40" s="893"/>
      <c r="AK40" s="867"/>
      <c r="AL40" s="893"/>
      <c r="AM40" s="867"/>
      <c r="AN40" s="920"/>
      <c r="AO40" s="922"/>
      <c r="AP40" s="925"/>
      <c r="AQ40" s="877"/>
      <c r="AR40" s="931"/>
      <c r="AS40" s="870"/>
      <c r="AT40" s="1058"/>
      <c r="AU40" s="916"/>
      <c r="AV40" s="893"/>
      <c r="AW40" s="867">
        <f t="shared" si="2"/>
        <v>0</v>
      </c>
      <c r="AX40" s="893">
        <f t="shared" si="3"/>
        <v>0</v>
      </c>
      <c r="AY40" s="869"/>
      <c r="AZ40" s="893"/>
      <c r="BA40" s="865">
        <f t="shared" si="0"/>
        <v>0</v>
      </c>
      <c r="BB40" s="866">
        <f t="shared" si="1"/>
        <v>0</v>
      </c>
    </row>
    <row r="41" spans="1:54" ht="17.25" x14ac:dyDescent="0.35">
      <c r="A41" s="365" t="s">
        <v>261</v>
      </c>
      <c r="B41" s="418"/>
      <c r="C41" s="877">
        <v>514239.73</v>
      </c>
      <c r="D41" s="887">
        <v>190344</v>
      </c>
      <c r="E41" s="891"/>
      <c r="F41" s="893"/>
      <c r="G41" s="867"/>
      <c r="H41" s="893"/>
      <c r="I41" s="867">
        <v>873966.59</v>
      </c>
      <c r="J41" s="893"/>
      <c r="K41" s="867"/>
      <c r="L41" s="893"/>
      <c r="M41" s="867"/>
      <c r="N41" s="901"/>
      <c r="O41" s="903"/>
      <c r="P41" s="893"/>
      <c r="Q41" s="867"/>
      <c r="R41" s="199"/>
      <c r="S41" s="1"/>
      <c r="T41" s="893"/>
      <c r="U41" s="867"/>
      <c r="V41" s="893"/>
      <c r="W41" s="867">
        <v>2011933.46</v>
      </c>
      <c r="X41" s="893">
        <v>555546</v>
      </c>
      <c r="Y41" s="867">
        <v>3973364.4</v>
      </c>
      <c r="Z41" s="893">
        <v>1277101</v>
      </c>
      <c r="AA41" s="867">
        <v>97135</v>
      </c>
      <c r="AB41" s="910">
        <v>58934</v>
      </c>
      <c r="AC41" s="914">
        <v>184521.56</v>
      </c>
      <c r="AD41" s="893">
        <v>117068</v>
      </c>
      <c r="AE41" s="867"/>
      <c r="AF41" s="893"/>
      <c r="AG41" s="867"/>
      <c r="AH41" s="893"/>
      <c r="AI41" s="867"/>
      <c r="AJ41" s="893"/>
      <c r="AK41" s="867"/>
      <c r="AM41" s="867"/>
      <c r="AN41" s="920"/>
      <c r="AO41" s="922">
        <v>3576335.43</v>
      </c>
      <c r="AP41" s="924">
        <v>2524945</v>
      </c>
      <c r="AQ41" s="928"/>
      <c r="AR41" s="931"/>
      <c r="AS41" s="870"/>
      <c r="AT41" s="1058"/>
      <c r="AU41" s="916"/>
      <c r="AV41" s="893"/>
      <c r="AW41" s="867">
        <f t="shared" si="2"/>
        <v>11231496.17</v>
      </c>
      <c r="AX41" s="893">
        <f>SUM(D41+F41+H41+J41+L41+N41+P41+R41+T41+V41+X41+Z41+AB41+AD41+AF41+AH41+AJ41+AL38+AN41+AP41+AR41+AT41+AV41)</f>
        <v>4942012</v>
      </c>
      <c r="AY41" s="869"/>
      <c r="AZ41" s="893"/>
      <c r="BA41" s="865">
        <f t="shared" si="0"/>
        <v>11231496.17</v>
      </c>
      <c r="BB41" s="866">
        <f t="shared" si="1"/>
        <v>4942012</v>
      </c>
    </row>
    <row r="42" spans="1:54" ht="17.25" x14ac:dyDescent="0.35">
      <c r="A42" s="365" t="s">
        <v>262</v>
      </c>
      <c r="B42" s="418"/>
      <c r="C42" s="877"/>
      <c r="D42" s="889">
        <v>28940</v>
      </c>
      <c r="E42" s="892"/>
      <c r="F42" s="894"/>
      <c r="G42" s="869">
        <v>4172.41</v>
      </c>
      <c r="H42" s="894"/>
      <c r="I42" s="869">
        <v>55904.9</v>
      </c>
      <c r="J42" s="894"/>
      <c r="K42" s="869"/>
      <c r="L42" s="894"/>
      <c r="M42" s="869"/>
      <c r="N42" s="902">
        <v>-5553</v>
      </c>
      <c r="O42" s="904"/>
      <c r="P42" s="894"/>
      <c r="Q42" s="869"/>
      <c r="R42" s="89"/>
      <c r="S42" s="6"/>
      <c r="T42" s="894">
        <v>1147</v>
      </c>
      <c r="U42" s="869"/>
      <c r="V42" s="894"/>
      <c r="W42" s="869">
        <v>45808.44</v>
      </c>
      <c r="X42" s="894">
        <v>30659</v>
      </c>
      <c r="Y42" s="869">
        <v>173052.24</v>
      </c>
      <c r="Z42" s="894">
        <v>-45385</v>
      </c>
      <c r="AA42" s="869">
        <v>4458</v>
      </c>
      <c r="AB42" s="910">
        <v>3264</v>
      </c>
      <c r="AC42" s="914">
        <v>10436.26</v>
      </c>
      <c r="AD42" s="894">
        <v>10128</v>
      </c>
      <c r="AE42" s="869"/>
      <c r="AF42" s="918">
        <v>4309</v>
      </c>
      <c r="AG42" s="919">
        <v>116019.01</v>
      </c>
      <c r="AH42" s="894">
        <v>113638</v>
      </c>
      <c r="AI42" s="869">
        <v>6193</v>
      </c>
      <c r="AJ42" s="894">
        <v>29960</v>
      </c>
      <c r="AK42" s="869"/>
      <c r="AL42" s="894">
        <v>63523</v>
      </c>
      <c r="AM42" s="869"/>
      <c r="AN42" s="920"/>
      <c r="AO42" s="922">
        <v>189983.76</v>
      </c>
      <c r="AP42" s="924">
        <v>122067</v>
      </c>
      <c r="AQ42" s="928"/>
      <c r="AR42" s="931">
        <v>206</v>
      </c>
      <c r="AS42" s="870">
        <v>2793.25</v>
      </c>
      <c r="AT42" s="1061">
        <v>6162</v>
      </c>
      <c r="AU42" s="867"/>
      <c r="AV42" s="894">
        <v>-29709</v>
      </c>
      <c r="AW42" s="867">
        <f t="shared" si="2"/>
        <v>608821.27</v>
      </c>
      <c r="AX42" s="893">
        <f t="shared" si="3"/>
        <v>333356</v>
      </c>
      <c r="AY42" s="869">
        <v>544.13</v>
      </c>
      <c r="AZ42" s="894">
        <v>3526</v>
      </c>
      <c r="BA42" s="865">
        <f t="shared" si="0"/>
        <v>609365.4</v>
      </c>
      <c r="BB42" s="866">
        <f t="shared" si="1"/>
        <v>336882</v>
      </c>
    </row>
    <row r="43" spans="1:54" ht="17.25" x14ac:dyDescent="0.35">
      <c r="A43" s="365" t="s">
        <v>291</v>
      </c>
      <c r="B43" s="418"/>
      <c r="C43" s="877"/>
      <c r="D43" s="889"/>
      <c r="E43" s="892"/>
      <c r="F43" s="894">
        <v>3268</v>
      </c>
      <c r="G43" s="869"/>
      <c r="H43" s="894"/>
      <c r="I43" s="869"/>
      <c r="J43" s="894"/>
      <c r="K43" s="869"/>
      <c r="L43" s="894"/>
      <c r="M43" s="869"/>
      <c r="N43" s="902">
        <v>134398</v>
      </c>
      <c r="O43" s="904"/>
      <c r="P43" s="894"/>
      <c r="Q43" s="869"/>
      <c r="R43" s="89"/>
      <c r="S43" s="6"/>
      <c r="T43" s="894">
        <v>15200</v>
      </c>
      <c r="U43" s="869"/>
      <c r="V43" s="894"/>
      <c r="W43" s="869"/>
      <c r="X43" s="894"/>
      <c r="Y43" s="869"/>
      <c r="Z43" s="894"/>
      <c r="AA43" s="869"/>
      <c r="AB43" s="910"/>
      <c r="AC43" s="914"/>
      <c r="AD43" s="894"/>
      <c r="AE43" s="869">
        <v>602586.77</v>
      </c>
      <c r="AF43" s="918">
        <v>327743</v>
      </c>
      <c r="AG43" s="919"/>
      <c r="AH43" s="894">
        <v>393317</v>
      </c>
      <c r="AI43" s="869">
        <v>163161</v>
      </c>
      <c r="AJ43" s="894">
        <v>81904</v>
      </c>
      <c r="AK43" s="869"/>
      <c r="AL43" s="894">
        <v>19126</v>
      </c>
      <c r="AM43" s="869"/>
      <c r="AN43" s="920"/>
      <c r="AO43" s="922"/>
      <c r="AP43" s="924"/>
      <c r="AQ43" s="928"/>
      <c r="AR43" s="931">
        <v>-3272</v>
      </c>
      <c r="AS43" s="870">
        <v>50906.89</v>
      </c>
      <c r="AT43" s="1061">
        <v>7954</v>
      </c>
      <c r="AU43" s="867"/>
      <c r="AV43" s="894">
        <v>729741</v>
      </c>
      <c r="AW43" s="867">
        <f t="shared" si="2"/>
        <v>816654.66</v>
      </c>
      <c r="AX43" s="893">
        <f t="shared" si="3"/>
        <v>1709379</v>
      </c>
      <c r="AY43" s="869">
        <v>43431</v>
      </c>
      <c r="AZ43" s="894">
        <v>-904613</v>
      </c>
      <c r="BA43" s="865">
        <f t="shared" si="0"/>
        <v>860085.66</v>
      </c>
      <c r="BB43" s="866">
        <f t="shared" si="1"/>
        <v>804766</v>
      </c>
    </row>
    <row r="44" spans="1:54" ht="17.25" x14ac:dyDescent="0.35">
      <c r="A44" s="365" t="s">
        <v>294</v>
      </c>
      <c r="B44" s="418"/>
      <c r="C44" s="877"/>
      <c r="D44" s="889"/>
      <c r="E44" s="892"/>
      <c r="F44" s="894"/>
      <c r="G44" s="869"/>
      <c r="H44" s="894"/>
      <c r="I44" s="869">
        <v>-198.94</v>
      </c>
      <c r="J44" s="894"/>
      <c r="K44" s="869"/>
      <c r="L44" s="894"/>
      <c r="M44" s="869"/>
      <c r="N44" s="902"/>
      <c r="O44" s="904"/>
      <c r="P44" s="894"/>
      <c r="Q44" s="869"/>
      <c r="R44" s="89"/>
      <c r="S44" s="6"/>
      <c r="T44" s="894"/>
      <c r="U44" s="869"/>
      <c r="V44" s="894"/>
      <c r="W44" s="869"/>
      <c r="X44" s="894"/>
      <c r="Y44" s="869"/>
      <c r="Z44" s="894"/>
      <c r="AA44" s="869"/>
      <c r="AB44" s="910"/>
      <c r="AC44" s="914"/>
      <c r="AD44" s="894"/>
      <c r="AE44" s="869"/>
      <c r="AF44" s="918"/>
      <c r="AG44" s="919"/>
      <c r="AH44" s="894"/>
      <c r="AI44" s="869"/>
      <c r="AJ44" s="894"/>
      <c r="AK44" s="869"/>
      <c r="AL44" s="894"/>
      <c r="AM44" s="869"/>
      <c r="AN44" s="920"/>
      <c r="AO44" s="922"/>
      <c r="AP44" s="924"/>
      <c r="AQ44" s="928"/>
      <c r="AR44" s="931"/>
      <c r="AS44" s="870"/>
      <c r="AT44" s="1061"/>
      <c r="AU44" s="867"/>
      <c r="AV44" s="894"/>
      <c r="AW44" s="867">
        <f t="shared" si="2"/>
        <v>-198.94</v>
      </c>
      <c r="AX44" s="893">
        <f t="shared" si="3"/>
        <v>0</v>
      </c>
      <c r="AY44" s="869"/>
      <c r="AZ44" s="894"/>
      <c r="BA44" s="865">
        <f t="shared" si="0"/>
        <v>-198.94</v>
      </c>
      <c r="BB44" s="866">
        <f t="shared" si="1"/>
        <v>0</v>
      </c>
    </row>
    <row r="45" spans="1:54" s="595" customFormat="1" ht="18" x14ac:dyDescent="0.35">
      <c r="A45" s="414" t="s">
        <v>263</v>
      </c>
      <c r="B45" s="594"/>
      <c r="C45" s="880">
        <v>1529553.79</v>
      </c>
      <c r="D45" s="889">
        <v>1471145</v>
      </c>
      <c r="E45" s="892">
        <v>84937.4</v>
      </c>
      <c r="F45" s="894">
        <v>84676</v>
      </c>
      <c r="G45" s="869">
        <v>256057.26</v>
      </c>
      <c r="H45" s="894"/>
      <c r="I45" s="869">
        <v>2092264.35</v>
      </c>
      <c r="J45" s="894"/>
      <c r="K45" s="869">
        <v>259240.37</v>
      </c>
      <c r="L45" s="894"/>
      <c r="M45" s="869">
        <v>790722.28</v>
      </c>
      <c r="N45" s="902">
        <v>728372</v>
      </c>
      <c r="O45" s="904">
        <v>9950683</v>
      </c>
      <c r="P45" s="894"/>
      <c r="Q45" s="869">
        <v>143158.39000000001</v>
      </c>
      <c r="R45" s="298">
        <v>152322</v>
      </c>
      <c r="S45" s="800">
        <v>400600.34</v>
      </c>
      <c r="T45" s="894">
        <v>419070</v>
      </c>
      <c r="U45" s="869">
        <v>126372.8</v>
      </c>
      <c r="V45" s="894">
        <v>140871</v>
      </c>
      <c r="W45" s="869">
        <v>6340439.7000000002</v>
      </c>
      <c r="X45" s="894">
        <v>5654528</v>
      </c>
      <c r="Y45" s="869">
        <v>7696499.5</v>
      </c>
      <c r="Z45" s="894">
        <v>5514260</v>
      </c>
      <c r="AA45" s="869">
        <v>297932.84999999998</v>
      </c>
      <c r="AB45" s="913">
        <v>287673</v>
      </c>
      <c r="AC45" s="917">
        <v>557580.68999999994</v>
      </c>
      <c r="AD45" s="894">
        <v>588940</v>
      </c>
      <c r="AE45" s="869">
        <v>1464859.27</v>
      </c>
      <c r="AF45" s="894">
        <v>1454092</v>
      </c>
      <c r="AG45" s="869">
        <v>2662344.39</v>
      </c>
      <c r="AH45" s="894">
        <v>2573537</v>
      </c>
      <c r="AI45" s="869">
        <v>780073</v>
      </c>
      <c r="AJ45" s="894">
        <v>829503</v>
      </c>
      <c r="AK45" s="869">
        <v>658513.85</v>
      </c>
      <c r="AL45" s="894">
        <v>610717</v>
      </c>
      <c r="AM45" s="869"/>
      <c r="AN45" s="921"/>
      <c r="AO45" s="923">
        <v>7551680.6699999999</v>
      </c>
      <c r="AP45" s="926">
        <v>7510167</v>
      </c>
      <c r="AQ45" s="929">
        <v>180385.46</v>
      </c>
      <c r="AR45" s="932">
        <v>228262</v>
      </c>
      <c r="AS45" s="933">
        <v>363083.55</v>
      </c>
      <c r="AT45" s="1060">
        <v>437009</v>
      </c>
      <c r="AU45" s="917">
        <v>1660853.32</v>
      </c>
      <c r="AV45" s="894">
        <v>1473702</v>
      </c>
      <c r="AW45" s="867">
        <f t="shared" si="2"/>
        <v>45847836.230000004</v>
      </c>
      <c r="AX45" s="893">
        <f t="shared" si="3"/>
        <v>30158846</v>
      </c>
      <c r="AY45" s="869">
        <v>60907947.210000001</v>
      </c>
      <c r="AZ45" s="894">
        <v>65474251</v>
      </c>
      <c r="BA45" s="865">
        <f t="shared" si="0"/>
        <v>106755783.44</v>
      </c>
      <c r="BB45" s="866">
        <f t="shared" si="1"/>
        <v>95633097</v>
      </c>
    </row>
    <row r="46" spans="1:54" s="595" customFormat="1" ht="18" x14ac:dyDescent="0.35">
      <c r="A46" s="414" t="s">
        <v>264</v>
      </c>
      <c r="B46" s="594"/>
      <c r="C46" s="880">
        <v>11790.04</v>
      </c>
      <c r="D46" s="889">
        <v>7555</v>
      </c>
      <c r="E46" s="892">
        <v>-2922.8</v>
      </c>
      <c r="F46" s="894">
        <v>-25339</v>
      </c>
      <c r="G46" s="869">
        <v>2829.77</v>
      </c>
      <c r="H46" s="894"/>
      <c r="I46" s="869">
        <v>61029.16</v>
      </c>
      <c r="J46" s="894"/>
      <c r="K46" s="869">
        <v>3689.03</v>
      </c>
      <c r="L46" s="894"/>
      <c r="M46" s="869">
        <v>47433.11</v>
      </c>
      <c r="N46" s="902">
        <v>483</v>
      </c>
      <c r="O46" s="904">
        <v>1739209</v>
      </c>
      <c r="P46" s="894"/>
      <c r="Q46" s="869">
        <v>348.67</v>
      </c>
      <c r="R46" s="89">
        <v>993</v>
      </c>
      <c r="S46" s="6">
        <v>12054.8</v>
      </c>
      <c r="T46" s="894">
        <v>13662</v>
      </c>
      <c r="U46" s="869">
        <v>9441.5300000000007</v>
      </c>
      <c r="V46" s="894">
        <v>3179</v>
      </c>
      <c r="W46" s="869">
        <v>109844.48</v>
      </c>
      <c r="X46" s="894">
        <v>95966</v>
      </c>
      <c r="Y46" s="869">
        <v>224722.45</v>
      </c>
      <c r="Z46" s="894">
        <v>235652</v>
      </c>
      <c r="AA46" s="869">
        <v>14975.54</v>
      </c>
      <c r="AB46" s="913">
        <v>13058</v>
      </c>
      <c r="AC46" s="917">
        <v>18097.740000000002</v>
      </c>
      <c r="AD46" s="894">
        <v>32161</v>
      </c>
      <c r="AE46" s="869">
        <v>54945.25</v>
      </c>
      <c r="AF46" s="894">
        <v>25545</v>
      </c>
      <c r="AG46" s="869">
        <v>22165.14</v>
      </c>
      <c r="AH46" s="894">
        <v>41629</v>
      </c>
      <c r="AI46" s="869">
        <v>26691</v>
      </c>
      <c r="AJ46" s="894">
        <v>25188</v>
      </c>
      <c r="AK46" s="869">
        <v>28098.01</v>
      </c>
      <c r="AL46" s="894">
        <v>20920</v>
      </c>
      <c r="AM46" s="869"/>
      <c r="AN46" s="921"/>
      <c r="AO46" s="923">
        <v>180742.05</v>
      </c>
      <c r="AP46" s="926">
        <v>188375</v>
      </c>
      <c r="AQ46" s="929">
        <v>8303.9500000000007</v>
      </c>
      <c r="AR46" s="932">
        <v>-7113</v>
      </c>
      <c r="AS46" s="933">
        <v>6084.64</v>
      </c>
      <c r="AT46" s="1060">
        <v>2977</v>
      </c>
      <c r="AU46" s="917">
        <v>50291.19</v>
      </c>
      <c r="AV46" s="894">
        <v>64147</v>
      </c>
      <c r="AW46" s="867">
        <f t="shared" si="2"/>
        <v>2629863.7500000005</v>
      </c>
      <c r="AX46" s="893">
        <f t="shared" si="3"/>
        <v>739038</v>
      </c>
      <c r="AY46" s="869">
        <v>288901.01</v>
      </c>
      <c r="AZ46" s="894">
        <v>570651</v>
      </c>
      <c r="BA46" s="865">
        <f t="shared" si="0"/>
        <v>2918764.7600000007</v>
      </c>
      <c r="BB46" s="866">
        <f t="shared" si="1"/>
        <v>1309689</v>
      </c>
    </row>
    <row r="47" spans="1:54" ht="17.25" x14ac:dyDescent="0.35">
      <c r="A47" s="414" t="s">
        <v>377</v>
      </c>
      <c r="B47" s="418"/>
      <c r="C47" s="877"/>
      <c r="D47" s="889"/>
      <c r="E47" s="892"/>
      <c r="F47" s="893"/>
      <c r="G47" s="867"/>
      <c r="H47" s="893"/>
      <c r="I47" s="867">
        <v>-2269.3200000000002</v>
      </c>
      <c r="J47" s="893"/>
      <c r="K47" s="867"/>
      <c r="L47" s="893"/>
      <c r="M47" s="867"/>
      <c r="N47" s="901"/>
      <c r="O47" s="903"/>
      <c r="P47" s="893"/>
      <c r="Q47" s="867"/>
      <c r="R47" s="89"/>
      <c r="S47" s="6"/>
      <c r="T47" s="893"/>
      <c r="U47" s="867"/>
      <c r="V47" s="893"/>
      <c r="W47" s="867"/>
      <c r="X47" s="893"/>
      <c r="Y47" s="867">
        <v>-14184.55</v>
      </c>
      <c r="Z47" s="893">
        <v>-16615</v>
      </c>
      <c r="AA47" s="867">
        <v>1910.13</v>
      </c>
      <c r="AB47" s="912">
        <v>2317</v>
      </c>
      <c r="AC47" s="916"/>
      <c r="AD47" s="893"/>
      <c r="AE47" s="867"/>
      <c r="AF47" s="893"/>
      <c r="AG47" s="867"/>
      <c r="AH47" s="893"/>
      <c r="AI47" s="867"/>
      <c r="AJ47" s="893"/>
      <c r="AK47" s="867"/>
      <c r="AL47" s="893"/>
      <c r="AM47" s="867"/>
      <c r="AN47" s="920"/>
      <c r="AO47" s="922"/>
      <c r="AP47" s="926"/>
      <c r="AQ47" s="929"/>
      <c r="AR47" s="931"/>
      <c r="AS47" s="870"/>
      <c r="AT47" s="1058"/>
      <c r="AU47" s="916"/>
      <c r="AV47" s="893"/>
      <c r="AW47" s="867">
        <f t="shared" si="2"/>
        <v>-14543.739999999998</v>
      </c>
      <c r="AX47" s="893">
        <f t="shared" si="3"/>
        <v>-14298</v>
      </c>
      <c r="AY47" s="869"/>
      <c r="AZ47" s="893"/>
      <c r="BA47" s="865">
        <f t="shared" si="0"/>
        <v>-14543.739999999998</v>
      </c>
      <c r="BB47" s="866">
        <f t="shared" si="1"/>
        <v>-14298</v>
      </c>
    </row>
    <row r="48" spans="1:54" ht="17.25" x14ac:dyDescent="0.35">
      <c r="A48" s="414" t="s">
        <v>265</v>
      </c>
      <c r="B48" s="418"/>
      <c r="C48" s="877"/>
      <c r="D48" s="887"/>
      <c r="E48" s="891"/>
      <c r="F48" s="893"/>
      <c r="G48" s="867"/>
      <c r="H48" s="893"/>
      <c r="I48" s="867"/>
      <c r="J48" s="893"/>
      <c r="K48" s="867"/>
      <c r="L48" s="893"/>
      <c r="M48" s="867"/>
      <c r="N48" s="901"/>
      <c r="O48" s="903"/>
      <c r="P48" s="893"/>
      <c r="Q48" s="867"/>
      <c r="R48" s="199"/>
      <c r="S48" s="1"/>
      <c r="T48" s="893"/>
      <c r="U48" s="867"/>
      <c r="V48" s="893"/>
      <c r="W48" s="867"/>
      <c r="X48" s="893"/>
      <c r="Y48" s="867"/>
      <c r="Z48" s="893"/>
      <c r="AA48" s="867"/>
      <c r="AB48" s="912"/>
      <c r="AC48" s="916"/>
      <c r="AD48" s="893"/>
      <c r="AE48" s="867"/>
      <c r="AF48" s="893"/>
      <c r="AG48" s="867"/>
      <c r="AH48" s="893"/>
      <c r="AI48" s="867"/>
      <c r="AJ48" s="893"/>
      <c r="AK48" s="867"/>
      <c r="AL48" s="893"/>
      <c r="AM48" s="867"/>
      <c r="AN48" s="920"/>
      <c r="AO48" s="922"/>
      <c r="AP48" s="925"/>
      <c r="AQ48" s="877"/>
      <c r="AR48" s="931"/>
      <c r="AS48" s="870"/>
      <c r="AT48" s="1058"/>
      <c r="AU48" s="916"/>
      <c r="AV48" s="893"/>
      <c r="AW48" s="867">
        <f t="shared" si="2"/>
        <v>0</v>
      </c>
      <c r="AX48" s="893">
        <f t="shared" si="3"/>
        <v>0</v>
      </c>
      <c r="AY48" s="869"/>
      <c r="AZ48" s="893"/>
      <c r="BA48" s="865">
        <f t="shared" si="0"/>
        <v>0</v>
      </c>
      <c r="BB48" s="866">
        <f t="shared" si="1"/>
        <v>0</v>
      </c>
    </row>
    <row r="49" spans="1:54" ht="17.25" x14ac:dyDescent="0.35">
      <c r="A49" s="414" t="s">
        <v>298</v>
      </c>
      <c r="B49" s="418"/>
      <c r="C49" s="877"/>
      <c r="D49" s="887"/>
      <c r="E49" s="891"/>
      <c r="F49" s="893"/>
      <c r="G49" s="867"/>
      <c r="H49" s="893"/>
      <c r="I49" s="867"/>
      <c r="J49" s="893"/>
      <c r="K49" s="867"/>
      <c r="L49" s="893"/>
      <c r="M49" s="867"/>
      <c r="N49" s="901"/>
      <c r="O49" s="903"/>
      <c r="P49" s="893"/>
      <c r="Q49" s="867"/>
      <c r="R49" s="199"/>
      <c r="S49" s="1"/>
      <c r="T49" s="893"/>
      <c r="U49" s="867"/>
      <c r="V49" s="893"/>
      <c r="W49" s="867"/>
      <c r="X49" s="893"/>
      <c r="Y49" s="867"/>
      <c r="Z49" s="893"/>
      <c r="AA49" s="867"/>
      <c r="AB49" s="912"/>
      <c r="AC49" s="916"/>
      <c r="AD49" s="893"/>
      <c r="AE49" s="867"/>
      <c r="AF49" s="893"/>
      <c r="AG49" s="867"/>
      <c r="AH49" s="893"/>
      <c r="AI49" s="867"/>
      <c r="AJ49" s="893"/>
      <c r="AK49" s="867"/>
      <c r="AL49" s="893"/>
      <c r="AM49" s="867"/>
      <c r="AN49" s="920"/>
      <c r="AO49" s="922"/>
      <c r="AP49" s="925"/>
      <c r="AQ49" s="877"/>
      <c r="AR49" s="931"/>
      <c r="AS49" s="870"/>
      <c r="AT49" s="1058"/>
      <c r="AU49" s="916"/>
      <c r="AV49" s="893"/>
      <c r="AW49" s="867">
        <f t="shared" si="2"/>
        <v>0</v>
      </c>
      <c r="AX49" s="893">
        <f t="shared" si="3"/>
        <v>0</v>
      </c>
      <c r="AY49" s="869"/>
      <c r="AZ49" s="893"/>
      <c r="BA49" s="865">
        <f t="shared" si="0"/>
        <v>0</v>
      </c>
      <c r="BB49" s="866">
        <f t="shared" si="1"/>
        <v>0</v>
      </c>
    </row>
    <row r="50" spans="1:54" ht="17.25" x14ac:dyDescent="0.35">
      <c r="A50" s="365" t="s">
        <v>266</v>
      </c>
      <c r="B50" s="418"/>
      <c r="C50" s="877"/>
      <c r="D50" s="887"/>
      <c r="E50" s="891"/>
      <c r="F50" s="893"/>
      <c r="G50" s="867"/>
      <c r="H50" s="893"/>
      <c r="I50" s="867"/>
      <c r="J50" s="893"/>
      <c r="K50" s="867"/>
      <c r="L50" s="893"/>
      <c r="M50" s="867"/>
      <c r="N50" s="901"/>
      <c r="O50" s="903"/>
      <c r="P50" s="893"/>
      <c r="Q50" s="867"/>
      <c r="R50" s="199"/>
      <c r="S50" s="1"/>
      <c r="T50" s="893"/>
      <c r="U50" s="867"/>
      <c r="V50" s="893"/>
      <c r="W50" s="867"/>
      <c r="X50" s="893"/>
      <c r="Y50" s="867"/>
      <c r="Z50" s="893"/>
      <c r="AA50" s="867"/>
      <c r="AB50" s="912"/>
      <c r="AC50" s="916"/>
      <c r="AD50" s="893"/>
      <c r="AE50" s="867"/>
      <c r="AF50" s="893"/>
      <c r="AG50" s="867">
        <v>5018.71</v>
      </c>
      <c r="AH50" s="893">
        <v>53304</v>
      </c>
      <c r="AI50" s="867"/>
      <c r="AJ50" s="893"/>
      <c r="AK50" s="867"/>
      <c r="AL50" s="893"/>
      <c r="AM50" s="867"/>
      <c r="AN50" s="920"/>
      <c r="AO50" s="922"/>
      <c r="AP50" s="924"/>
      <c r="AQ50" s="928"/>
      <c r="AR50" s="931"/>
      <c r="AS50" s="870"/>
      <c r="AT50" s="1058"/>
      <c r="AU50" s="916"/>
      <c r="AV50" s="893"/>
      <c r="AW50" s="867">
        <f t="shared" si="2"/>
        <v>5018.71</v>
      </c>
      <c r="AX50" s="893">
        <f t="shared" si="3"/>
        <v>53304</v>
      </c>
      <c r="AY50" s="869"/>
      <c r="AZ50" s="893"/>
      <c r="BA50" s="865">
        <f t="shared" si="0"/>
        <v>5018.71</v>
      </c>
      <c r="BB50" s="866">
        <f t="shared" si="1"/>
        <v>53304</v>
      </c>
    </row>
    <row r="51" spans="1:54" ht="17.25" x14ac:dyDescent="0.35">
      <c r="A51" s="414" t="s">
        <v>141</v>
      </c>
      <c r="B51" s="418"/>
      <c r="C51" s="877"/>
      <c r="D51" s="889"/>
      <c r="E51" s="892"/>
      <c r="F51" s="894"/>
      <c r="G51" s="869"/>
      <c r="H51" s="894"/>
      <c r="I51" s="869"/>
      <c r="J51" s="894"/>
      <c r="K51" s="869"/>
      <c r="L51" s="894"/>
      <c r="M51" s="869"/>
      <c r="N51" s="902"/>
      <c r="O51" s="904"/>
      <c r="P51" s="894"/>
      <c r="Q51" s="869"/>
      <c r="R51" s="89"/>
      <c r="S51" s="6"/>
      <c r="T51" s="894"/>
      <c r="U51" s="869"/>
      <c r="V51" s="894"/>
      <c r="W51" s="869"/>
      <c r="X51" s="894"/>
      <c r="Y51" s="869"/>
      <c r="Z51" s="894"/>
      <c r="AA51" s="869"/>
      <c r="AB51" s="893"/>
      <c r="AC51" s="867"/>
      <c r="AD51" s="894"/>
      <c r="AE51" s="869"/>
      <c r="AF51" s="918"/>
      <c r="AG51" s="919"/>
      <c r="AH51" s="894"/>
      <c r="AI51" s="869"/>
      <c r="AJ51" s="894"/>
      <c r="AK51" s="869"/>
      <c r="AL51" s="894"/>
      <c r="AM51" s="869"/>
      <c r="AN51" s="920"/>
      <c r="AO51" s="922"/>
      <c r="AP51" s="925"/>
      <c r="AQ51" s="877"/>
      <c r="AR51" s="931"/>
      <c r="AS51" s="870"/>
      <c r="AT51" s="1061"/>
      <c r="AU51" s="867"/>
      <c r="AV51" s="894"/>
      <c r="AW51" s="867">
        <f t="shared" si="2"/>
        <v>0</v>
      </c>
      <c r="AX51" s="893">
        <f t="shared" si="3"/>
        <v>0</v>
      </c>
      <c r="AY51" s="869"/>
      <c r="AZ51" s="894"/>
      <c r="BA51" s="865">
        <f t="shared" si="0"/>
        <v>0</v>
      </c>
      <c r="BB51" s="866">
        <f t="shared" si="1"/>
        <v>0</v>
      </c>
    </row>
    <row r="52" spans="1:54" ht="17.25" x14ac:dyDescent="0.35">
      <c r="A52" s="365" t="s">
        <v>267</v>
      </c>
      <c r="B52" s="418"/>
      <c r="C52" s="877">
        <v>12940.61</v>
      </c>
      <c r="D52" s="887">
        <v>7555</v>
      </c>
      <c r="E52" s="891">
        <v>299.17</v>
      </c>
      <c r="F52" s="893">
        <v>303</v>
      </c>
      <c r="G52" s="867">
        <v>1746.29</v>
      </c>
      <c r="H52" s="893"/>
      <c r="I52" s="867">
        <v>54462.1</v>
      </c>
      <c r="J52" s="893"/>
      <c r="K52" s="867">
        <v>2138.2199999999998</v>
      </c>
      <c r="L52" s="893"/>
      <c r="M52" s="867">
        <v>17379.75</v>
      </c>
      <c r="N52" s="901">
        <v>17769</v>
      </c>
      <c r="O52" s="903">
        <v>1598981</v>
      </c>
      <c r="P52" s="893"/>
      <c r="Q52" s="867">
        <v>213.8</v>
      </c>
      <c r="R52" s="906">
        <v>658</v>
      </c>
      <c r="S52" s="100">
        <v>2592.7600000000002</v>
      </c>
      <c r="T52" s="893">
        <v>7851</v>
      </c>
      <c r="U52" s="867">
        <v>3443.86</v>
      </c>
      <c r="V52" s="893">
        <v>1034</v>
      </c>
      <c r="W52" s="867">
        <v>99089.68</v>
      </c>
      <c r="X52" s="893">
        <v>100934</v>
      </c>
      <c r="Y52" s="867">
        <v>198485.96</v>
      </c>
      <c r="Z52" s="893">
        <v>216022</v>
      </c>
      <c r="AA52" s="867">
        <v>9700.3700000000008</v>
      </c>
      <c r="AB52" s="912">
        <v>5881</v>
      </c>
      <c r="AC52" s="916">
        <v>14678.16</v>
      </c>
      <c r="AD52" s="893">
        <v>16084</v>
      </c>
      <c r="AE52" s="867">
        <v>50493.5</v>
      </c>
      <c r="AF52" s="893">
        <v>25188</v>
      </c>
      <c r="AG52" s="1057">
        <v>38617.129999999997</v>
      </c>
      <c r="AH52" s="893">
        <v>11675</v>
      </c>
      <c r="AI52" s="867">
        <v>6673</v>
      </c>
      <c r="AJ52" s="893">
        <v>5323</v>
      </c>
      <c r="AK52" s="867">
        <v>23752.799999999999</v>
      </c>
      <c r="AL52" s="893">
        <v>18236</v>
      </c>
      <c r="AM52" s="867"/>
      <c r="AN52" s="920"/>
      <c r="AO52" s="922">
        <v>167876.22</v>
      </c>
      <c r="AP52" s="924">
        <v>173243</v>
      </c>
      <c r="AQ52" s="928">
        <v>7960.4</v>
      </c>
      <c r="AR52" s="931">
        <v>2257</v>
      </c>
      <c r="AS52" s="870">
        <v>15931.73</v>
      </c>
      <c r="AT52" s="1058">
        <v>25948</v>
      </c>
      <c r="AU52" s="916">
        <v>10246.98</v>
      </c>
      <c r="AV52" s="893">
        <v>55993</v>
      </c>
      <c r="AW52" s="867">
        <f t="shared" si="2"/>
        <v>2337703.4899999998</v>
      </c>
      <c r="AX52" s="893">
        <f t="shared" si="3"/>
        <v>691954</v>
      </c>
      <c r="AY52" s="869">
        <v>288901.01</v>
      </c>
      <c r="AZ52" s="893">
        <v>387541</v>
      </c>
      <c r="BA52" s="865">
        <f t="shared" si="0"/>
        <v>2626604.5</v>
      </c>
      <c r="BB52" s="866">
        <f t="shared" si="1"/>
        <v>1079495</v>
      </c>
    </row>
    <row r="53" spans="1:54" ht="17.25" x14ac:dyDescent="0.35">
      <c r="A53" s="365" t="s">
        <v>289</v>
      </c>
      <c r="B53" s="418"/>
      <c r="C53" s="877"/>
      <c r="D53" s="887"/>
      <c r="E53" s="891">
        <v>-7197.55</v>
      </c>
      <c r="F53" s="893">
        <v>-27590</v>
      </c>
      <c r="G53" s="867"/>
      <c r="H53" s="893"/>
      <c r="I53" s="867"/>
      <c r="J53" s="893"/>
      <c r="K53" s="867">
        <v>-31.69</v>
      </c>
      <c r="L53" s="893"/>
      <c r="M53" s="867"/>
      <c r="N53" s="901"/>
      <c r="O53" s="903"/>
      <c r="P53" s="893"/>
      <c r="Q53" s="867"/>
      <c r="R53" s="906"/>
      <c r="S53" s="100"/>
      <c r="T53" s="893"/>
      <c r="U53" s="867"/>
      <c r="V53" s="893"/>
      <c r="W53" s="867"/>
      <c r="X53" s="893"/>
      <c r="Y53" s="867"/>
      <c r="Z53" s="893"/>
      <c r="AA53" s="867"/>
      <c r="AB53" s="912"/>
      <c r="AC53" s="916"/>
      <c r="AD53" s="893"/>
      <c r="AE53" s="867"/>
      <c r="AF53" s="893"/>
      <c r="AG53" s="867"/>
      <c r="AH53" s="893"/>
      <c r="AI53" s="867"/>
      <c r="AJ53" s="893"/>
      <c r="AK53" s="867"/>
      <c r="AL53" s="893"/>
      <c r="AM53" s="867"/>
      <c r="AN53" s="920"/>
      <c r="AO53" s="922"/>
      <c r="AP53" s="924"/>
      <c r="AQ53" s="928"/>
      <c r="AR53" s="931"/>
      <c r="AS53" s="870"/>
      <c r="AT53" s="1058"/>
      <c r="AU53" s="916"/>
      <c r="AV53" s="893"/>
      <c r="AW53" s="867">
        <f t="shared" si="2"/>
        <v>-7229.24</v>
      </c>
      <c r="AX53" s="893">
        <f t="shared" si="3"/>
        <v>-27590</v>
      </c>
      <c r="AY53" s="869"/>
      <c r="AZ53" s="893"/>
      <c r="BA53" s="865">
        <f t="shared" si="0"/>
        <v>-7229.24</v>
      </c>
      <c r="BB53" s="866">
        <f t="shared" si="1"/>
        <v>-27590</v>
      </c>
    </row>
    <row r="54" spans="1:54" ht="17.25" x14ac:dyDescent="0.35">
      <c r="A54" s="365" t="s">
        <v>268</v>
      </c>
      <c r="B54" s="418"/>
      <c r="C54" s="877"/>
      <c r="D54" s="887"/>
      <c r="E54" s="891"/>
      <c r="F54" s="893"/>
      <c r="G54" s="867"/>
      <c r="H54" s="893"/>
      <c r="I54" s="867"/>
      <c r="J54" s="893"/>
      <c r="K54" s="867"/>
      <c r="L54" s="893"/>
      <c r="M54" s="867"/>
      <c r="N54" s="901"/>
      <c r="O54" s="903"/>
      <c r="P54" s="893"/>
      <c r="Q54" s="867"/>
      <c r="R54" s="906"/>
      <c r="S54" s="100"/>
      <c r="T54" s="893"/>
      <c r="U54" s="867"/>
      <c r="V54" s="893"/>
      <c r="W54" s="867"/>
      <c r="X54" s="893"/>
      <c r="Y54" s="867"/>
      <c r="Z54" s="893"/>
      <c r="AA54" s="867"/>
      <c r="AB54" s="912"/>
      <c r="AC54" s="916"/>
      <c r="AD54" s="893"/>
      <c r="AE54" s="867"/>
      <c r="AF54" s="893"/>
      <c r="AG54" s="867"/>
      <c r="AH54" s="893"/>
      <c r="AI54" s="867">
        <v>20018</v>
      </c>
      <c r="AJ54" s="893">
        <v>19865</v>
      </c>
      <c r="AK54" s="867"/>
      <c r="AL54" s="893"/>
      <c r="AM54" s="867"/>
      <c r="AN54" s="920"/>
      <c r="AO54" s="922"/>
      <c r="AP54" s="925"/>
      <c r="AQ54" s="877"/>
      <c r="AR54" s="931"/>
      <c r="AS54" s="870"/>
      <c r="AT54" s="1058"/>
      <c r="AU54" s="916"/>
      <c r="AV54" s="893"/>
      <c r="AW54" s="867">
        <f t="shared" si="2"/>
        <v>20018</v>
      </c>
      <c r="AX54" s="893">
        <f t="shared" si="3"/>
        <v>19865</v>
      </c>
      <c r="AY54" s="869"/>
      <c r="AZ54" s="893"/>
      <c r="BA54" s="865">
        <f t="shared" si="0"/>
        <v>20018</v>
      </c>
      <c r="BB54" s="866">
        <f t="shared" si="1"/>
        <v>19865</v>
      </c>
    </row>
    <row r="55" spans="1:54" ht="17.25" x14ac:dyDescent="0.35">
      <c r="A55" s="365" t="s">
        <v>269</v>
      </c>
      <c r="B55" s="418"/>
      <c r="C55" s="877">
        <v>-1150.57</v>
      </c>
      <c r="D55" s="887"/>
      <c r="E55" s="891">
        <v>3975.78</v>
      </c>
      <c r="F55" s="893">
        <v>1948</v>
      </c>
      <c r="G55" s="867">
        <v>1083.48</v>
      </c>
      <c r="H55" s="893"/>
      <c r="I55" s="867">
        <v>8836.3799999999992</v>
      </c>
      <c r="J55" s="893"/>
      <c r="K55" s="867">
        <v>1582.5</v>
      </c>
      <c r="L55" s="893"/>
      <c r="M55" s="867">
        <v>30053.360000000001</v>
      </c>
      <c r="N55" s="901">
        <v>7534</v>
      </c>
      <c r="O55" s="903">
        <v>140228</v>
      </c>
      <c r="P55" s="893"/>
      <c r="Q55" s="867">
        <v>134.87</v>
      </c>
      <c r="R55" s="906">
        <v>334</v>
      </c>
      <c r="S55" s="100">
        <v>9462.0400000000009</v>
      </c>
      <c r="T55" s="893">
        <v>5811</v>
      </c>
      <c r="U55" s="867">
        <v>5997.67</v>
      </c>
      <c r="V55" s="893">
        <v>2145</v>
      </c>
      <c r="W55" s="867">
        <v>10754.8</v>
      </c>
      <c r="X55" s="893">
        <v>-4968</v>
      </c>
      <c r="Y55" s="867">
        <v>12051.94</v>
      </c>
      <c r="Z55" s="893">
        <v>3014</v>
      </c>
      <c r="AA55" s="867">
        <v>3365.04</v>
      </c>
      <c r="AB55" s="912">
        <v>4860</v>
      </c>
      <c r="AC55" s="916">
        <v>3419.58</v>
      </c>
      <c r="AD55" s="893">
        <v>16077</v>
      </c>
      <c r="AE55" s="867">
        <v>4451.75</v>
      </c>
      <c r="AF55" s="893">
        <v>4404</v>
      </c>
      <c r="AG55" s="867">
        <v>-11433.28</v>
      </c>
      <c r="AH55" s="893"/>
      <c r="AI55" s="867">
        <v>26691</v>
      </c>
      <c r="AJ55" s="893">
        <v>25188</v>
      </c>
      <c r="AK55" s="867">
        <v>4345.21</v>
      </c>
      <c r="AL55" s="893">
        <v>2684</v>
      </c>
      <c r="AM55" s="867"/>
      <c r="AN55" s="920"/>
      <c r="AO55" s="922">
        <v>12865.83</v>
      </c>
      <c r="AP55" s="924">
        <v>15132</v>
      </c>
      <c r="AQ55" s="928">
        <v>3470.7</v>
      </c>
      <c r="AR55" s="931">
        <v>-1230</v>
      </c>
      <c r="AS55" s="870">
        <v>446.12</v>
      </c>
      <c r="AT55" s="1058">
        <v>5077</v>
      </c>
      <c r="AU55" s="916">
        <v>40044.21</v>
      </c>
      <c r="AV55" s="893"/>
      <c r="AW55" s="867">
        <f t="shared" si="2"/>
        <v>310676.41000000003</v>
      </c>
      <c r="AX55" s="893">
        <f t="shared" si="3"/>
        <v>88010</v>
      </c>
      <c r="AY55" s="869">
        <v>312.55</v>
      </c>
      <c r="AZ55" s="893">
        <v>183109</v>
      </c>
      <c r="BA55" s="865">
        <f t="shared" si="0"/>
        <v>310988.96000000002</v>
      </c>
      <c r="BB55" s="866">
        <f t="shared" si="1"/>
        <v>271119</v>
      </c>
    </row>
    <row r="56" spans="1:54" s="595" customFormat="1" ht="18" x14ac:dyDescent="0.35">
      <c r="A56" s="414" t="s">
        <v>270</v>
      </c>
      <c r="B56" s="594"/>
      <c r="C56" s="880">
        <v>11790.04</v>
      </c>
      <c r="D56" s="889">
        <v>7555</v>
      </c>
      <c r="E56" s="892">
        <v>-2922.8</v>
      </c>
      <c r="F56" s="894">
        <v>-25339</v>
      </c>
      <c r="G56" s="869">
        <v>2829.77</v>
      </c>
      <c r="H56" s="894"/>
      <c r="I56" s="869">
        <v>63298.48</v>
      </c>
      <c r="J56" s="894"/>
      <c r="K56" s="869">
        <v>3689.03</v>
      </c>
      <c r="L56" s="894"/>
      <c r="M56" s="869">
        <v>47433.11</v>
      </c>
      <c r="N56" s="902">
        <v>25303</v>
      </c>
      <c r="O56" s="904">
        <v>1739209</v>
      </c>
      <c r="P56" s="894"/>
      <c r="Q56" s="869">
        <v>348.67</v>
      </c>
      <c r="R56" s="907">
        <v>993</v>
      </c>
      <c r="S56" s="909">
        <v>12054.8</v>
      </c>
      <c r="T56" s="894">
        <v>13662</v>
      </c>
      <c r="U56" s="869">
        <v>9441.5300000000007</v>
      </c>
      <c r="V56" s="894">
        <v>3179</v>
      </c>
      <c r="W56" s="869">
        <v>109844.48</v>
      </c>
      <c r="X56" s="894">
        <v>95966</v>
      </c>
      <c r="Y56" s="869">
        <v>210537.9</v>
      </c>
      <c r="Z56" s="894">
        <v>219036</v>
      </c>
      <c r="AA56" s="869">
        <v>13065.41</v>
      </c>
      <c r="AB56" s="913">
        <v>10741</v>
      </c>
      <c r="AC56" s="917">
        <v>18097.740000000002</v>
      </c>
      <c r="AD56" s="894">
        <v>32161</v>
      </c>
      <c r="AE56" s="869">
        <v>54945.25</v>
      </c>
      <c r="AF56" s="894">
        <v>29592</v>
      </c>
      <c r="AG56" s="869"/>
      <c r="AH56" s="894">
        <v>53304</v>
      </c>
      <c r="AI56" s="869"/>
      <c r="AJ56" s="894"/>
      <c r="AK56" s="869">
        <v>28098.01</v>
      </c>
      <c r="AL56" s="894">
        <v>20920</v>
      </c>
      <c r="AM56" s="869"/>
      <c r="AN56" s="921"/>
      <c r="AO56" s="923">
        <v>180742.05</v>
      </c>
      <c r="AP56" s="926">
        <v>188375</v>
      </c>
      <c r="AQ56" s="929">
        <v>11431.1</v>
      </c>
      <c r="AR56" s="932">
        <v>1026</v>
      </c>
      <c r="AS56" s="933">
        <v>16377.85</v>
      </c>
      <c r="AT56" s="1060">
        <v>31025</v>
      </c>
      <c r="AU56" s="917">
        <v>50291.19</v>
      </c>
      <c r="AV56" s="894">
        <v>64147</v>
      </c>
      <c r="AW56" s="867">
        <f t="shared" si="2"/>
        <v>2580602.61</v>
      </c>
      <c r="AX56" s="893">
        <f t="shared" si="3"/>
        <v>771646</v>
      </c>
      <c r="AY56" s="869">
        <v>2889011.01</v>
      </c>
      <c r="AZ56" s="894">
        <v>570651</v>
      </c>
      <c r="BA56" s="865">
        <f t="shared" si="0"/>
        <v>5469613.6199999992</v>
      </c>
      <c r="BB56" s="866">
        <f t="shared" si="1"/>
        <v>1342297</v>
      </c>
    </row>
    <row r="57" spans="1:54" ht="17.25" x14ac:dyDescent="0.35">
      <c r="A57" s="365" t="s">
        <v>271</v>
      </c>
      <c r="B57" s="418"/>
      <c r="C57" s="877">
        <v>67716</v>
      </c>
      <c r="D57" s="889">
        <v>1028</v>
      </c>
      <c r="E57" s="892">
        <v>8.1</v>
      </c>
      <c r="F57" s="894">
        <v>15</v>
      </c>
      <c r="G57" s="869">
        <v>56.52</v>
      </c>
      <c r="H57" s="894"/>
      <c r="I57" s="869">
        <v>14905.19</v>
      </c>
      <c r="J57" s="894"/>
      <c r="K57" s="869">
        <v>1872.17</v>
      </c>
      <c r="L57" s="894"/>
      <c r="M57" s="869">
        <v>460.4</v>
      </c>
      <c r="N57" s="902">
        <v>877</v>
      </c>
      <c r="O57" s="904">
        <v>232</v>
      </c>
      <c r="P57" s="894"/>
      <c r="Q57" s="869">
        <v>2.39</v>
      </c>
      <c r="R57" s="907">
        <v>4</v>
      </c>
      <c r="S57" s="909"/>
      <c r="T57" s="894"/>
      <c r="U57" s="869">
        <f>74.63+112.34</f>
        <v>186.97</v>
      </c>
      <c r="V57" s="894">
        <f>99+248</f>
        <v>347</v>
      </c>
      <c r="W57" s="869">
        <f>20181.82+59228.21</f>
        <v>79410.03</v>
      </c>
      <c r="X57" s="894">
        <f>71241+107271</f>
        <v>178512</v>
      </c>
      <c r="Y57" s="869">
        <v>11623.11</v>
      </c>
      <c r="Z57" s="894">
        <v>21354</v>
      </c>
      <c r="AA57" s="869">
        <v>10</v>
      </c>
      <c r="AB57" s="910">
        <v>119</v>
      </c>
      <c r="AC57" s="914"/>
      <c r="AD57" s="894"/>
      <c r="AE57" s="869">
        <v>5020.8</v>
      </c>
      <c r="AF57" s="918">
        <v>6825</v>
      </c>
      <c r="AG57" s="919">
        <v>287.63</v>
      </c>
      <c r="AH57" s="894">
        <v>378</v>
      </c>
      <c r="AI57" s="869">
        <v>319</v>
      </c>
      <c r="AJ57" s="894">
        <v>415</v>
      </c>
      <c r="AK57" s="869">
        <v>37.869999999999997</v>
      </c>
      <c r="AL57" s="894">
        <v>51</v>
      </c>
      <c r="AM57" s="869"/>
      <c r="AN57" s="920"/>
      <c r="AO57" s="922">
        <v>8977.09</v>
      </c>
      <c r="AP57" s="924">
        <v>10174</v>
      </c>
      <c r="AQ57" s="928">
        <v>37.659999999999997</v>
      </c>
      <c r="AR57" s="931">
        <v>39</v>
      </c>
      <c r="AS57" s="870">
        <v>2.3199999999999998</v>
      </c>
      <c r="AT57" s="1061">
        <v>3</v>
      </c>
      <c r="AU57" s="867"/>
      <c r="AV57" s="894"/>
      <c r="AW57" s="867">
        <f t="shared" si="2"/>
        <v>191165.25</v>
      </c>
      <c r="AX57" s="893">
        <f t="shared" si="3"/>
        <v>220141</v>
      </c>
      <c r="AY57" s="869">
        <v>222907.33</v>
      </c>
      <c r="AZ57" s="894">
        <v>402730</v>
      </c>
      <c r="BA57" s="865">
        <f t="shared" si="0"/>
        <v>414072.57999999996</v>
      </c>
      <c r="BB57" s="866">
        <f t="shared" si="1"/>
        <v>622871</v>
      </c>
    </row>
    <row r="58" spans="1:54" ht="17.25" x14ac:dyDescent="0.35">
      <c r="A58" s="365" t="s">
        <v>272</v>
      </c>
      <c r="B58" s="418"/>
      <c r="C58" s="877">
        <v>26244.34</v>
      </c>
      <c r="D58" s="887">
        <v>27</v>
      </c>
      <c r="E58" s="891">
        <v>2684.43</v>
      </c>
      <c r="F58" s="893">
        <v>2706</v>
      </c>
      <c r="G58" s="867">
        <v>465.61</v>
      </c>
      <c r="H58" s="893"/>
      <c r="I58" s="867">
        <v>56913.42</v>
      </c>
      <c r="J58" s="893"/>
      <c r="K58" s="867">
        <v>7600.58</v>
      </c>
      <c r="L58" s="893"/>
      <c r="M58" s="867">
        <v>5412.91</v>
      </c>
      <c r="N58" s="901">
        <v>6920</v>
      </c>
      <c r="O58" s="903">
        <v>101262</v>
      </c>
      <c r="P58" s="893"/>
      <c r="Q58" s="867">
        <v>3478.67</v>
      </c>
      <c r="R58" s="906">
        <v>3909</v>
      </c>
      <c r="S58" s="100"/>
      <c r="T58" s="893"/>
      <c r="U58" s="867">
        <v>5734.95</v>
      </c>
      <c r="V58" s="893">
        <v>6212</v>
      </c>
      <c r="W58" s="867">
        <v>74152.5</v>
      </c>
      <c r="X58" s="893">
        <v>66188</v>
      </c>
      <c r="Y58" s="867">
        <v>60823.59</v>
      </c>
      <c r="Z58" s="893">
        <v>68349</v>
      </c>
      <c r="AA58" s="867">
        <v>7129</v>
      </c>
      <c r="AB58" s="912">
        <v>7956</v>
      </c>
      <c r="AC58" s="916"/>
      <c r="AD58" s="893"/>
      <c r="AE58" s="867">
        <v>54147.43</v>
      </c>
      <c r="AF58" s="893">
        <v>61117</v>
      </c>
      <c r="AG58" s="867">
        <v>129675.44</v>
      </c>
      <c r="AH58" s="893">
        <v>141995</v>
      </c>
      <c r="AI58" s="867">
        <v>32892</v>
      </c>
      <c r="AJ58" s="893">
        <v>40386</v>
      </c>
      <c r="AK58" s="867">
        <v>21502.25</v>
      </c>
      <c r="AL58" s="893">
        <v>22821</v>
      </c>
      <c r="AM58" s="867"/>
      <c r="AN58" s="920"/>
      <c r="AO58" s="922">
        <v>139492.12</v>
      </c>
      <c r="AP58" s="925">
        <v>152098</v>
      </c>
      <c r="AQ58" s="877">
        <v>10963.77</v>
      </c>
      <c r="AR58" s="931">
        <v>11912</v>
      </c>
      <c r="AS58" s="870">
        <v>2403.46</v>
      </c>
      <c r="AT58" s="1058">
        <v>2993</v>
      </c>
      <c r="AU58" s="916">
        <v>49654.5</v>
      </c>
      <c r="AV58" s="893">
        <v>62011</v>
      </c>
      <c r="AW58" s="867">
        <f t="shared" si="2"/>
        <v>792632.97</v>
      </c>
      <c r="AX58" s="893">
        <f t="shared" si="3"/>
        <v>657600</v>
      </c>
      <c r="AY58" s="869">
        <v>5489119.1600000001</v>
      </c>
      <c r="AZ58" s="893">
        <v>4827064</v>
      </c>
      <c r="BA58" s="865">
        <f t="shared" si="0"/>
        <v>6281752.1299999999</v>
      </c>
      <c r="BB58" s="866">
        <f t="shared" si="1"/>
        <v>5484664</v>
      </c>
    </row>
    <row r="59" spans="1:54" ht="18" thickBot="1" x14ac:dyDescent="0.4">
      <c r="A59" s="602" t="s">
        <v>273</v>
      </c>
      <c r="B59" s="603"/>
      <c r="C59" s="881">
        <v>11790.04</v>
      </c>
      <c r="D59" s="890">
        <v>26626</v>
      </c>
      <c r="E59" s="895">
        <v>-2922.8</v>
      </c>
      <c r="F59" s="896">
        <v>-25339</v>
      </c>
      <c r="G59" s="897">
        <v>2829.77</v>
      </c>
      <c r="H59" s="896"/>
      <c r="I59" s="897">
        <v>63298.48</v>
      </c>
      <c r="J59" s="896"/>
      <c r="K59" s="897">
        <v>3689.03</v>
      </c>
      <c r="L59" s="896"/>
      <c r="M59" s="897">
        <v>47433.11</v>
      </c>
      <c r="N59" s="935">
        <v>25303</v>
      </c>
      <c r="O59" s="936">
        <v>1739209</v>
      </c>
      <c r="P59" s="896"/>
      <c r="Q59" s="897">
        <v>348.67</v>
      </c>
      <c r="R59" s="937">
        <v>993</v>
      </c>
      <c r="S59" s="938"/>
      <c r="T59" s="896"/>
      <c r="U59" s="897">
        <v>9441.5300000000007</v>
      </c>
      <c r="V59" s="896">
        <v>3179</v>
      </c>
      <c r="W59" s="897">
        <v>109844.48</v>
      </c>
      <c r="X59" s="896">
        <v>95966</v>
      </c>
      <c r="Y59" s="897">
        <v>210537.9</v>
      </c>
      <c r="Z59" s="896">
        <v>219037</v>
      </c>
      <c r="AA59" s="897">
        <v>14976</v>
      </c>
      <c r="AB59" s="939">
        <v>13058</v>
      </c>
      <c r="AC59" s="940"/>
      <c r="AD59" s="896"/>
      <c r="AE59" s="897">
        <v>4451.75</v>
      </c>
      <c r="AF59" s="896">
        <v>4404</v>
      </c>
      <c r="AG59" s="897">
        <v>336806.86</v>
      </c>
      <c r="AH59" s="896">
        <v>53304</v>
      </c>
      <c r="AI59" s="897">
        <v>26692</v>
      </c>
      <c r="AJ59" s="896">
        <v>25188</v>
      </c>
      <c r="AK59" s="897">
        <v>28098.01</v>
      </c>
      <c r="AL59" s="896">
        <v>20920</v>
      </c>
      <c r="AM59" s="897"/>
      <c r="AN59" s="941"/>
      <c r="AO59" s="942">
        <v>180742.05</v>
      </c>
      <c r="AP59" s="943">
        <v>188375</v>
      </c>
      <c r="AQ59" s="944">
        <v>8303.9500000000007</v>
      </c>
      <c r="AR59" s="945">
        <v>1026</v>
      </c>
      <c r="AS59" s="871">
        <v>6084.64</v>
      </c>
      <c r="AT59" s="1062">
        <v>2977</v>
      </c>
      <c r="AU59" s="940">
        <v>50291.19</v>
      </c>
      <c r="AV59" s="945">
        <v>64147</v>
      </c>
      <c r="AW59" s="897">
        <f t="shared" si="2"/>
        <v>2851945.6599999997</v>
      </c>
      <c r="AX59" s="896">
        <f t="shared" si="3"/>
        <v>719164</v>
      </c>
      <c r="AY59" s="946">
        <v>288901.01</v>
      </c>
      <c r="AZ59" s="896">
        <v>570651</v>
      </c>
      <c r="BA59" s="947">
        <f t="shared" si="0"/>
        <v>3140846.67</v>
      </c>
      <c r="BB59" s="948">
        <f t="shared" si="1"/>
        <v>1289815</v>
      </c>
    </row>
    <row r="60" spans="1:54" s="1162" customFormat="1" ht="14.25" thickBot="1" x14ac:dyDescent="0.3">
      <c r="A60" s="1163" t="s">
        <v>274</v>
      </c>
      <c r="B60" s="1164"/>
      <c r="C60" s="1165">
        <v>38711.54</v>
      </c>
      <c r="D60" s="1166">
        <v>35236</v>
      </c>
      <c r="E60" s="1167">
        <v>-230.28</v>
      </c>
      <c r="F60" s="1168">
        <v>-22618</v>
      </c>
      <c r="G60" s="1169">
        <v>3351.9</v>
      </c>
      <c r="H60" s="1168"/>
      <c r="I60" s="1169">
        <v>135117.09</v>
      </c>
      <c r="J60" s="1168"/>
      <c r="K60" s="1169">
        <v>1316.1780000000001</v>
      </c>
      <c r="L60" s="1168"/>
      <c r="M60" s="1169">
        <v>53306.42</v>
      </c>
      <c r="N60" s="1168">
        <v>33100</v>
      </c>
      <c r="O60" s="1169">
        <v>1840703</v>
      </c>
      <c r="P60" s="1168"/>
      <c r="Q60" s="1169">
        <v>3829.73</v>
      </c>
      <c r="R60" s="1170">
        <v>4906</v>
      </c>
      <c r="S60" s="1171"/>
      <c r="T60" s="1168"/>
      <c r="U60" s="1169">
        <v>15363.45</v>
      </c>
      <c r="V60" s="1168">
        <v>9738</v>
      </c>
      <c r="W60" s="1169">
        <v>263407.01</v>
      </c>
      <c r="X60" s="1168">
        <v>340666</v>
      </c>
      <c r="Y60" s="1169">
        <v>282984.59999999998</v>
      </c>
      <c r="Z60" s="1168">
        <v>308740</v>
      </c>
      <c r="AA60" s="1169">
        <v>22115</v>
      </c>
      <c r="AB60" s="1172">
        <v>21133</v>
      </c>
      <c r="AC60" s="1173">
        <v>44929</v>
      </c>
      <c r="AD60" s="1168">
        <v>61118</v>
      </c>
      <c r="AE60" s="1169">
        <v>63619.98</v>
      </c>
      <c r="AF60" s="1168">
        <v>72346</v>
      </c>
      <c r="AG60" s="1169">
        <v>466769.93</v>
      </c>
      <c r="AH60" s="1168">
        <v>195677</v>
      </c>
      <c r="AI60" s="1169">
        <v>59903</v>
      </c>
      <c r="AJ60" s="1168">
        <v>65989</v>
      </c>
      <c r="AK60" s="1169">
        <v>49638.13</v>
      </c>
      <c r="AL60" s="1168">
        <v>43792</v>
      </c>
      <c r="AM60" s="1169"/>
      <c r="AN60" s="1174"/>
      <c r="AO60" s="1175">
        <v>329211.26</v>
      </c>
      <c r="AP60" s="1176">
        <v>350647</v>
      </c>
      <c r="AQ60" s="1177">
        <v>19305.38</v>
      </c>
      <c r="AR60" s="1178">
        <v>12977</v>
      </c>
      <c r="AS60" s="1179">
        <v>8490.42</v>
      </c>
      <c r="AT60" s="1180">
        <v>5973</v>
      </c>
      <c r="AU60" s="1173">
        <v>99945.69</v>
      </c>
      <c r="AV60" s="1168">
        <v>126158</v>
      </c>
      <c r="AW60" s="1169">
        <f t="shared" si="2"/>
        <v>3801788.4279999998</v>
      </c>
      <c r="AX60" s="1168">
        <f t="shared" si="3"/>
        <v>1665578</v>
      </c>
      <c r="AY60" s="1169">
        <v>6000927.5</v>
      </c>
      <c r="AZ60" s="1168">
        <v>5800446</v>
      </c>
      <c r="BA60" s="1181">
        <f t="shared" si="0"/>
        <v>9802715.9279999994</v>
      </c>
      <c r="BB60" s="1182">
        <f t="shared" si="1"/>
        <v>7466024</v>
      </c>
    </row>
  </sheetData>
  <mergeCells count="2">
    <mergeCell ref="A1:BB1"/>
    <mergeCell ref="A2:A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BA42"/>
  <sheetViews>
    <sheetView topLeftCell="A25" workbookViewId="0">
      <pane xSplit="1" topLeftCell="AT1" activePane="topRight" state="frozen"/>
      <selection pane="topRight" activeCell="BA41" sqref="BA41"/>
    </sheetView>
  </sheetViews>
  <sheetFormatPr defaultRowHeight="12.75" x14ac:dyDescent="0.25"/>
  <cols>
    <col min="1" max="1" width="40" style="444" bestFit="1" customWidth="1"/>
    <col min="2" max="2" width="10.5703125" style="444" bestFit="1" customWidth="1"/>
    <col min="3" max="3" width="10.5703125" style="98" bestFit="1" customWidth="1"/>
    <col min="4" max="4" width="10.5703125" style="98" customWidth="1"/>
    <col min="5" max="18" width="10.5703125" style="98" bestFit="1" customWidth="1"/>
    <col min="19" max="19" width="10.5703125" style="98" customWidth="1"/>
    <col min="20" max="38" width="10.5703125" style="98" bestFit="1" customWidth="1"/>
    <col min="39" max="40" width="10.5703125" style="399" bestFit="1" customWidth="1"/>
    <col min="41" max="49" width="10.5703125" style="98" bestFit="1" customWidth="1"/>
    <col min="50" max="50" width="12" style="98" bestFit="1" customWidth="1"/>
    <col min="51" max="51" width="10.5703125" style="98" bestFit="1" customWidth="1"/>
    <col min="52" max="52" width="12" style="98" bestFit="1" customWidth="1"/>
    <col min="53" max="53" width="10.5703125" style="170" bestFit="1" customWidth="1"/>
    <col min="54" max="16384" width="9.140625" style="399"/>
  </cols>
  <sheetData>
    <row r="1" spans="1:53" ht="42.75" customHeight="1" thickBot="1" x14ac:dyDescent="0.4">
      <c r="A1" s="956" t="s">
        <v>435</v>
      </c>
      <c r="B1" s="1345" t="s">
        <v>158</v>
      </c>
      <c r="C1" s="1348"/>
      <c r="D1" s="1376" t="s">
        <v>159</v>
      </c>
      <c r="E1" s="1377"/>
      <c r="F1" s="1376" t="s">
        <v>160</v>
      </c>
      <c r="G1" s="1377"/>
      <c r="H1" s="1376" t="s">
        <v>161</v>
      </c>
      <c r="I1" s="1377"/>
      <c r="J1" s="1376" t="s">
        <v>162</v>
      </c>
      <c r="K1" s="1377"/>
      <c r="L1" s="1376" t="s">
        <v>163</v>
      </c>
      <c r="M1" s="1377"/>
      <c r="N1" s="1376" t="s">
        <v>312</v>
      </c>
      <c r="O1" s="1377"/>
      <c r="P1" s="1376" t="s">
        <v>164</v>
      </c>
      <c r="Q1" s="1377"/>
      <c r="R1" s="1376" t="s">
        <v>165</v>
      </c>
      <c r="S1" s="1377"/>
      <c r="T1" s="1376" t="s">
        <v>166</v>
      </c>
      <c r="U1" s="1377"/>
      <c r="V1" s="1376" t="s">
        <v>167</v>
      </c>
      <c r="W1" s="1377"/>
      <c r="X1" s="1376" t="s">
        <v>168</v>
      </c>
      <c r="Y1" s="1377"/>
      <c r="Z1" s="1376" t="s">
        <v>383</v>
      </c>
      <c r="AA1" s="1377"/>
      <c r="AB1" s="1376" t="s">
        <v>169</v>
      </c>
      <c r="AC1" s="1377"/>
      <c r="AD1" s="1378" t="s">
        <v>170</v>
      </c>
      <c r="AE1" s="1379"/>
      <c r="AF1" s="1376" t="s">
        <v>171</v>
      </c>
      <c r="AG1" s="1377"/>
      <c r="AH1" s="1376" t="s">
        <v>172</v>
      </c>
      <c r="AI1" s="1377"/>
      <c r="AJ1" s="1376" t="s">
        <v>173</v>
      </c>
      <c r="AK1" s="1377"/>
      <c r="AL1" s="1378" t="s">
        <v>174</v>
      </c>
      <c r="AM1" s="1379"/>
      <c r="AN1" s="1376" t="s">
        <v>175</v>
      </c>
      <c r="AO1" s="1377"/>
      <c r="AP1" s="1376" t="s">
        <v>176</v>
      </c>
      <c r="AQ1" s="1377"/>
      <c r="AR1" s="1376" t="s">
        <v>177</v>
      </c>
      <c r="AS1" s="1377"/>
      <c r="AT1" s="1376" t="s">
        <v>178</v>
      </c>
      <c r="AU1" s="1377"/>
      <c r="AV1" s="1382" t="s">
        <v>1</v>
      </c>
      <c r="AW1" s="1383"/>
      <c r="AX1" s="1378" t="s">
        <v>179</v>
      </c>
      <c r="AY1" s="1379"/>
      <c r="AZ1" s="1380" t="s">
        <v>2</v>
      </c>
      <c r="BA1" s="1381"/>
    </row>
    <row r="2" spans="1:53" s="499" customFormat="1" ht="31.5" customHeight="1" thickBot="1" x14ac:dyDescent="0.35">
      <c r="A2" s="525" t="s">
        <v>0</v>
      </c>
      <c r="B2" s="1023" t="s">
        <v>382</v>
      </c>
      <c r="C2" s="1022" t="s">
        <v>433</v>
      </c>
      <c r="D2" s="1023" t="s">
        <v>382</v>
      </c>
      <c r="E2" s="1022" t="s">
        <v>433</v>
      </c>
      <c r="F2" s="1023" t="s">
        <v>382</v>
      </c>
      <c r="G2" s="1022" t="s">
        <v>433</v>
      </c>
      <c r="H2" s="1023" t="s">
        <v>382</v>
      </c>
      <c r="I2" s="1022" t="s">
        <v>433</v>
      </c>
      <c r="J2" s="1023" t="s">
        <v>382</v>
      </c>
      <c r="K2" s="1022" t="s">
        <v>433</v>
      </c>
      <c r="L2" s="1023" t="s">
        <v>382</v>
      </c>
      <c r="M2" s="1022" t="s">
        <v>433</v>
      </c>
      <c r="N2" s="1023" t="s">
        <v>382</v>
      </c>
      <c r="O2" s="1022" t="s">
        <v>433</v>
      </c>
      <c r="P2" s="1023" t="s">
        <v>382</v>
      </c>
      <c r="Q2" s="1022" t="s">
        <v>433</v>
      </c>
      <c r="R2" s="1023" t="s">
        <v>382</v>
      </c>
      <c r="S2" s="1022" t="s">
        <v>433</v>
      </c>
      <c r="T2" s="1023" t="s">
        <v>382</v>
      </c>
      <c r="U2" s="1022" t="s">
        <v>433</v>
      </c>
      <c r="V2" s="1023" t="s">
        <v>382</v>
      </c>
      <c r="W2" s="1022" t="s">
        <v>433</v>
      </c>
      <c r="X2" s="1023" t="s">
        <v>382</v>
      </c>
      <c r="Y2" s="1022" t="s">
        <v>433</v>
      </c>
      <c r="Z2" s="1023" t="s">
        <v>382</v>
      </c>
      <c r="AA2" s="1022" t="s">
        <v>433</v>
      </c>
      <c r="AB2" s="1023" t="s">
        <v>382</v>
      </c>
      <c r="AC2" s="1022" t="s">
        <v>433</v>
      </c>
      <c r="AD2" s="1023" t="s">
        <v>382</v>
      </c>
      <c r="AE2" s="1022" t="s">
        <v>433</v>
      </c>
      <c r="AF2" s="1023" t="s">
        <v>382</v>
      </c>
      <c r="AG2" s="1022" t="s">
        <v>433</v>
      </c>
      <c r="AH2" s="1023" t="s">
        <v>382</v>
      </c>
      <c r="AI2" s="1022" t="s">
        <v>433</v>
      </c>
      <c r="AJ2" s="1023" t="s">
        <v>382</v>
      </c>
      <c r="AK2" s="1022" t="s">
        <v>433</v>
      </c>
      <c r="AL2" s="1023" t="s">
        <v>382</v>
      </c>
      <c r="AM2" s="1022" t="s">
        <v>433</v>
      </c>
      <c r="AN2" s="1023" t="s">
        <v>382</v>
      </c>
      <c r="AO2" s="1022" t="s">
        <v>433</v>
      </c>
      <c r="AP2" s="1023" t="s">
        <v>382</v>
      </c>
      <c r="AQ2" s="1022" t="s">
        <v>433</v>
      </c>
      <c r="AR2" s="1023" t="s">
        <v>382</v>
      </c>
      <c r="AS2" s="1022" t="s">
        <v>433</v>
      </c>
      <c r="AT2" s="1023" t="s">
        <v>382</v>
      </c>
      <c r="AU2" s="1022" t="s">
        <v>433</v>
      </c>
      <c r="AV2" s="1023" t="s">
        <v>382</v>
      </c>
      <c r="AW2" s="1022" t="s">
        <v>433</v>
      </c>
      <c r="AX2" s="1023" t="s">
        <v>382</v>
      </c>
      <c r="AY2" s="1022" t="s">
        <v>433</v>
      </c>
      <c r="AZ2" s="1023" t="s">
        <v>382</v>
      </c>
      <c r="BA2" s="1022" t="s">
        <v>433</v>
      </c>
    </row>
    <row r="3" spans="1:53" ht="14.25" x14ac:dyDescent="0.3">
      <c r="A3" s="415" t="s">
        <v>203</v>
      </c>
      <c r="B3" s="967"/>
      <c r="C3" s="949"/>
      <c r="D3" s="954"/>
      <c r="E3" s="949"/>
      <c r="F3" s="954"/>
      <c r="G3" s="949"/>
      <c r="H3" s="954"/>
      <c r="I3" s="949"/>
      <c r="J3" s="954"/>
      <c r="K3" s="949"/>
      <c r="L3" s="954"/>
      <c r="M3" s="949"/>
      <c r="N3" s="954"/>
      <c r="O3" s="949"/>
      <c r="P3" s="954"/>
      <c r="Q3" s="949"/>
      <c r="R3" s="954"/>
      <c r="S3" s="949"/>
      <c r="T3" s="954"/>
      <c r="U3" s="949"/>
      <c r="V3" s="954"/>
      <c r="W3" s="949"/>
      <c r="X3" s="954"/>
      <c r="Y3" s="949"/>
      <c r="Z3" s="954"/>
      <c r="AA3" s="949"/>
      <c r="AB3" s="954"/>
      <c r="AC3" s="372"/>
      <c r="AD3" s="533"/>
      <c r="AE3" s="372"/>
      <c r="AF3" s="533"/>
      <c r="AG3" s="372"/>
      <c r="AH3" s="533"/>
      <c r="AI3" s="372"/>
      <c r="AJ3" s="533"/>
      <c r="AK3" s="372"/>
      <c r="AL3" s="533"/>
      <c r="AM3" s="955"/>
      <c r="AN3" s="443"/>
      <c r="AO3" s="372"/>
      <c r="AP3" s="533"/>
      <c r="AQ3" s="372"/>
      <c r="AR3" s="533"/>
      <c r="AS3" s="949"/>
      <c r="AT3" s="954"/>
      <c r="AU3" s="372"/>
      <c r="AV3" s="954"/>
      <c r="AW3" s="372"/>
      <c r="AX3" s="954"/>
      <c r="AY3" s="949"/>
      <c r="AZ3" s="954"/>
      <c r="BA3" s="1032"/>
    </row>
    <row r="4" spans="1:53" ht="13.5" x14ac:dyDescent="0.3">
      <c r="A4" s="957" t="s">
        <v>204</v>
      </c>
      <c r="B4" s="959"/>
      <c r="C4" s="950"/>
      <c r="D4" s="952"/>
      <c r="E4" s="950"/>
      <c r="F4" s="952" t="s">
        <v>295</v>
      </c>
      <c r="G4" s="950" t="s">
        <v>295</v>
      </c>
      <c r="H4" s="952"/>
      <c r="I4" s="950"/>
      <c r="J4" s="952"/>
      <c r="K4" s="950"/>
      <c r="L4" s="952"/>
      <c r="M4" s="950"/>
      <c r="N4" s="952"/>
      <c r="O4" s="950"/>
      <c r="P4" s="952"/>
      <c r="Q4" s="950"/>
      <c r="R4" s="952"/>
      <c r="S4" s="950"/>
      <c r="T4" s="952"/>
      <c r="U4" s="950"/>
      <c r="V4" s="952"/>
      <c r="W4" s="950"/>
      <c r="X4" s="952"/>
      <c r="Y4" s="950"/>
      <c r="Z4" s="952"/>
      <c r="AA4" s="950"/>
      <c r="AB4" s="952"/>
      <c r="AC4" s="97"/>
      <c r="AD4" s="374"/>
      <c r="AE4" s="97"/>
      <c r="AF4" s="374"/>
      <c r="AG4" s="97"/>
      <c r="AH4" s="374"/>
      <c r="AI4" s="97"/>
      <c r="AJ4" s="374"/>
      <c r="AK4" s="97"/>
      <c r="AL4" s="374"/>
      <c r="AM4" s="953"/>
      <c r="AN4" s="400"/>
      <c r="AO4" s="97"/>
      <c r="AP4" s="374"/>
      <c r="AQ4" s="97"/>
      <c r="AR4" s="374"/>
      <c r="AS4" s="950"/>
      <c r="AT4" s="952"/>
      <c r="AU4" s="97"/>
      <c r="AV4" s="952"/>
      <c r="AW4" s="97"/>
      <c r="AX4" s="952"/>
      <c r="AY4" s="950"/>
      <c r="AZ4" s="952"/>
      <c r="BA4" s="1033"/>
    </row>
    <row r="5" spans="1:53" x14ac:dyDescent="0.25">
      <c r="A5" s="365" t="s">
        <v>205</v>
      </c>
      <c r="B5" s="727"/>
      <c r="C5" s="950"/>
      <c r="D5" s="952"/>
      <c r="E5" s="950"/>
      <c r="F5" s="952"/>
      <c r="G5" s="950"/>
      <c r="H5" s="952"/>
      <c r="I5" s="950"/>
      <c r="J5" s="952"/>
      <c r="K5" s="950"/>
      <c r="L5" s="952"/>
      <c r="M5" s="950"/>
      <c r="N5" s="952"/>
      <c r="O5" s="950"/>
      <c r="P5" s="952"/>
      <c r="Q5" s="950"/>
      <c r="R5" s="952"/>
      <c r="S5" s="950"/>
      <c r="T5" s="952"/>
      <c r="U5" s="950"/>
      <c r="V5" s="952"/>
      <c r="W5" s="950"/>
      <c r="X5" s="952"/>
      <c r="Y5" s="950"/>
      <c r="Z5" s="952"/>
      <c r="AA5" s="950"/>
      <c r="AB5" s="952"/>
      <c r="AC5" s="97"/>
      <c r="AD5" s="374"/>
      <c r="AE5" s="97"/>
      <c r="AF5" s="374"/>
      <c r="AG5" s="97"/>
      <c r="AH5" s="374"/>
      <c r="AI5" s="97"/>
      <c r="AJ5" s="374"/>
      <c r="AK5" s="97"/>
      <c r="AL5" s="374"/>
      <c r="AM5" s="953"/>
      <c r="AN5" s="400"/>
      <c r="AO5" s="97"/>
      <c r="AP5" s="374"/>
      <c r="AQ5" s="97"/>
      <c r="AR5" s="374"/>
      <c r="AS5" s="950"/>
      <c r="AT5" s="952"/>
      <c r="AU5" s="97"/>
      <c r="AV5" s="952"/>
      <c r="AW5" s="97"/>
      <c r="AX5" s="952"/>
      <c r="AY5" s="950"/>
      <c r="AZ5" s="952"/>
      <c r="BA5" s="1033"/>
    </row>
    <row r="6" spans="1:53" x14ac:dyDescent="0.25">
      <c r="A6" s="365" t="s">
        <v>206</v>
      </c>
      <c r="B6" s="727"/>
      <c r="C6" s="950"/>
      <c r="D6" s="952"/>
      <c r="E6" s="950"/>
      <c r="F6" s="952"/>
      <c r="G6" s="950"/>
      <c r="H6" s="952"/>
      <c r="I6" s="950"/>
      <c r="J6" s="952"/>
      <c r="K6" s="950"/>
      <c r="L6" s="952"/>
      <c r="M6" s="950"/>
      <c r="N6" s="952"/>
      <c r="O6" s="950"/>
      <c r="P6" s="952"/>
      <c r="Q6" s="950"/>
      <c r="R6" s="952"/>
      <c r="S6" s="950"/>
      <c r="T6" s="952"/>
      <c r="U6" s="950"/>
      <c r="V6" s="952"/>
      <c r="W6" s="950"/>
      <c r="X6" s="952"/>
      <c r="Y6" s="950"/>
      <c r="Z6" s="952"/>
      <c r="AA6" s="950"/>
      <c r="AB6" s="952"/>
      <c r="AC6" s="97"/>
      <c r="AD6" s="374"/>
      <c r="AE6" s="97"/>
      <c r="AF6" s="374"/>
      <c r="AG6" s="97"/>
      <c r="AH6" s="374"/>
      <c r="AI6" s="97"/>
      <c r="AJ6" s="374"/>
      <c r="AK6" s="97"/>
      <c r="AL6" s="374"/>
      <c r="AM6" s="953"/>
      <c r="AN6" s="400"/>
      <c r="AO6" s="97"/>
      <c r="AP6" s="374"/>
      <c r="AQ6" s="97"/>
      <c r="AR6" s="374"/>
      <c r="AS6" s="950"/>
      <c r="AT6" s="952"/>
      <c r="AU6" s="97"/>
      <c r="AV6" s="952"/>
      <c r="AW6" s="97"/>
      <c r="AX6" s="952">
        <v>1197071.3400000001</v>
      </c>
      <c r="AY6" s="950">
        <v>1089893</v>
      </c>
      <c r="AZ6" s="952">
        <f>AV6+AX6</f>
        <v>1197071.3400000001</v>
      </c>
      <c r="BA6" s="105">
        <f>AW6+AY6</f>
        <v>1089893</v>
      </c>
    </row>
    <row r="7" spans="1:53" x14ac:dyDescent="0.25">
      <c r="A7" s="365" t="s">
        <v>207</v>
      </c>
      <c r="B7" s="727"/>
      <c r="C7" s="950"/>
      <c r="D7" s="952"/>
      <c r="E7" s="950"/>
      <c r="F7" s="952"/>
      <c r="G7" s="950"/>
      <c r="H7" s="952"/>
      <c r="I7" s="950"/>
      <c r="J7" s="952"/>
      <c r="K7" s="950"/>
      <c r="L7" s="952"/>
      <c r="M7" s="950"/>
      <c r="N7" s="952"/>
      <c r="O7" s="950"/>
      <c r="P7" s="952"/>
      <c r="Q7" s="950"/>
      <c r="R7" s="952"/>
      <c r="S7" s="950"/>
      <c r="T7" s="952"/>
      <c r="U7" s="950"/>
      <c r="V7" s="952"/>
      <c r="W7" s="950"/>
      <c r="X7" s="952"/>
      <c r="Y7" s="950"/>
      <c r="Z7" s="952"/>
      <c r="AA7" s="950"/>
      <c r="AB7" s="952"/>
      <c r="AC7" s="97"/>
      <c r="AD7" s="374"/>
      <c r="AE7" s="97"/>
      <c r="AF7" s="374"/>
      <c r="AG7" s="97"/>
      <c r="AH7" s="374"/>
      <c r="AI7" s="97"/>
      <c r="AJ7" s="374"/>
      <c r="AK7" s="97"/>
      <c r="AL7" s="374"/>
      <c r="AM7" s="953"/>
      <c r="AN7" s="400"/>
      <c r="AO7" s="97"/>
      <c r="AP7" s="374"/>
      <c r="AQ7" s="97"/>
      <c r="AR7" s="374"/>
      <c r="AS7" s="950"/>
      <c r="AT7" s="952"/>
      <c r="AU7" s="97"/>
      <c r="AV7" s="952"/>
      <c r="AW7" s="97"/>
      <c r="AX7" s="952">
        <v>1246.06</v>
      </c>
      <c r="AY7" s="950">
        <v>1093</v>
      </c>
      <c r="AZ7" s="952">
        <f>AV7+AX7</f>
        <v>1246.06</v>
      </c>
      <c r="BA7" s="105">
        <f>AW7+AY7</f>
        <v>1093</v>
      </c>
    </row>
    <row r="8" spans="1:53" x14ac:dyDescent="0.25">
      <c r="A8" s="365" t="s">
        <v>208</v>
      </c>
      <c r="B8" s="727"/>
      <c r="C8" s="950"/>
      <c r="D8" s="952"/>
      <c r="E8" s="950"/>
      <c r="F8" s="952"/>
      <c r="G8" s="950"/>
      <c r="H8" s="952"/>
      <c r="I8" s="950"/>
      <c r="J8" s="952"/>
      <c r="K8" s="950"/>
      <c r="L8" s="952"/>
      <c r="M8" s="950"/>
      <c r="N8" s="952"/>
      <c r="O8" s="950"/>
      <c r="P8" s="952"/>
      <c r="Q8" s="950"/>
      <c r="R8" s="952"/>
      <c r="S8" s="950"/>
      <c r="T8" s="952"/>
      <c r="U8" s="950"/>
      <c r="V8" s="952"/>
      <c r="W8" s="950"/>
      <c r="X8" s="952"/>
      <c r="Y8" s="950"/>
      <c r="Z8" s="952"/>
      <c r="AA8" s="950"/>
      <c r="AB8" s="952"/>
      <c r="AC8" s="97"/>
      <c r="AD8" s="374"/>
      <c r="AE8" s="97"/>
      <c r="AF8" s="374"/>
      <c r="AG8" s="97"/>
      <c r="AH8" s="374"/>
      <c r="AI8" s="97"/>
      <c r="AJ8" s="374"/>
      <c r="AK8" s="97"/>
      <c r="AL8" s="374"/>
      <c r="AM8" s="953"/>
      <c r="AN8" s="400"/>
      <c r="AO8" s="97"/>
      <c r="AP8" s="374"/>
      <c r="AQ8" s="97"/>
      <c r="AR8" s="374"/>
      <c r="AS8" s="950"/>
      <c r="AT8" s="952"/>
      <c r="AU8" s="97"/>
      <c r="AV8" s="952"/>
      <c r="AW8" s="97"/>
      <c r="AX8" s="952"/>
      <c r="AY8" s="950"/>
      <c r="AZ8" s="952"/>
      <c r="BA8" s="105"/>
    </row>
    <row r="9" spans="1:53" x14ac:dyDescent="0.25">
      <c r="A9" s="365" t="s">
        <v>209</v>
      </c>
      <c r="B9" s="727">
        <v>21495</v>
      </c>
      <c r="C9" s="950">
        <v>29406</v>
      </c>
      <c r="D9" s="952">
        <v>260</v>
      </c>
      <c r="E9" s="950">
        <v>270</v>
      </c>
      <c r="F9" s="952"/>
      <c r="G9" s="950"/>
      <c r="H9" s="952">
        <v>46603.3</v>
      </c>
      <c r="I9" s="950">
        <v>51495</v>
      </c>
      <c r="J9" s="952">
        <v>2600.98</v>
      </c>
      <c r="K9" s="950">
        <v>3300</v>
      </c>
      <c r="L9" s="952">
        <v>333.54</v>
      </c>
      <c r="M9" s="950">
        <v>826</v>
      </c>
      <c r="N9" s="952">
        <v>6337.86</v>
      </c>
      <c r="O9" s="950">
        <v>9096</v>
      </c>
      <c r="P9" s="952">
        <v>1465.16</v>
      </c>
      <c r="Q9" s="950">
        <v>2039</v>
      </c>
      <c r="R9" s="952">
        <v>53301.1</v>
      </c>
      <c r="S9" s="950">
        <v>62885</v>
      </c>
      <c r="T9" s="952">
        <v>2638.73</v>
      </c>
      <c r="U9" s="950">
        <v>4111</v>
      </c>
      <c r="V9" s="952">
        <v>42404.91</v>
      </c>
      <c r="W9" s="950">
        <v>64283</v>
      </c>
      <c r="X9" s="952">
        <v>66282.06</v>
      </c>
      <c r="Y9" s="950">
        <v>94012</v>
      </c>
      <c r="Z9" s="952">
        <v>980.54</v>
      </c>
      <c r="AA9" s="950">
        <v>1395</v>
      </c>
      <c r="AB9" s="952">
        <v>1434.82</v>
      </c>
      <c r="AC9" s="97">
        <v>2322</v>
      </c>
      <c r="AD9" s="374">
        <v>6428.98</v>
      </c>
      <c r="AE9" s="97">
        <v>7397</v>
      </c>
      <c r="AF9" s="374">
        <f>53222.46</f>
        <v>53222.46</v>
      </c>
      <c r="AG9" s="97">
        <v>66607</v>
      </c>
      <c r="AH9" s="374">
        <v>9209</v>
      </c>
      <c r="AI9" s="97">
        <v>16288</v>
      </c>
      <c r="AJ9" s="374">
        <v>6354.62</v>
      </c>
      <c r="AK9" s="97">
        <v>8213</v>
      </c>
      <c r="AL9" s="374"/>
      <c r="AM9" s="953"/>
      <c r="AN9" s="400">
        <v>11364.31</v>
      </c>
      <c r="AO9" s="97">
        <v>16888</v>
      </c>
      <c r="AP9" s="374">
        <v>6303.49</v>
      </c>
      <c r="AQ9" s="97">
        <v>8884</v>
      </c>
      <c r="AR9" s="374">
        <v>1290.71</v>
      </c>
      <c r="AS9" s="950">
        <v>1690</v>
      </c>
      <c r="AT9" s="952">
        <v>46867.45</v>
      </c>
      <c r="AU9" s="97">
        <v>50630</v>
      </c>
      <c r="AV9" s="1189">
        <f>SUM(B9+D9+F9+H9+J9+L9+N9+P9+R9+T9+V9+X9+Z9+AB9+AD9+AF9+AH9+AJ9+AL9+AN9+AP9+AR9+AT9)</f>
        <v>387179.02000000008</v>
      </c>
      <c r="AW9" s="155">
        <f>SUM(C9+E9+G9+I9+K9+M9+O9+Q9+S9+U9+W9+Y9+AA9+AC9+AE9+AG9+AI9+AK9+AM9+AO9+AQ9+AS9+AU9)</f>
        <v>502037</v>
      </c>
      <c r="AX9" s="952">
        <v>10103158.25</v>
      </c>
      <c r="AY9" s="950">
        <v>10442616</v>
      </c>
      <c r="AZ9" s="952">
        <f t="shared" ref="AZ9:BA13" si="0">AV9+AX9</f>
        <v>10490337.27</v>
      </c>
      <c r="BA9" s="103">
        <f t="shared" si="0"/>
        <v>10944653</v>
      </c>
    </row>
    <row r="10" spans="1:53" x14ac:dyDescent="0.25">
      <c r="A10" s="365" t="s">
        <v>210</v>
      </c>
      <c r="B10" s="727"/>
      <c r="C10" s="950"/>
      <c r="D10" s="952"/>
      <c r="E10" s="961"/>
      <c r="F10" s="117"/>
      <c r="G10" s="950"/>
      <c r="H10" s="952"/>
      <c r="I10" s="950"/>
      <c r="J10" s="952"/>
      <c r="K10" s="950"/>
      <c r="L10" s="952"/>
      <c r="M10" s="950"/>
      <c r="N10" s="952"/>
      <c r="O10" s="950"/>
      <c r="P10" s="952">
        <v>26.31</v>
      </c>
      <c r="Q10" s="950">
        <v>50</v>
      </c>
      <c r="R10" s="952"/>
      <c r="S10" s="950"/>
      <c r="T10" s="952"/>
      <c r="U10" s="950"/>
      <c r="V10" s="952"/>
      <c r="W10" s="950"/>
      <c r="X10" s="952"/>
      <c r="Y10" s="950"/>
      <c r="Z10" s="952"/>
      <c r="AA10" s="950"/>
      <c r="AB10" s="952"/>
      <c r="AC10" s="97"/>
      <c r="AD10" s="374"/>
      <c r="AE10" s="97"/>
      <c r="AF10" s="374"/>
      <c r="AG10" s="97"/>
      <c r="AH10" s="374"/>
      <c r="AI10" s="97"/>
      <c r="AJ10" s="374"/>
      <c r="AK10" s="97"/>
      <c r="AL10" s="374"/>
      <c r="AM10" s="953"/>
      <c r="AN10" s="400">
        <v>24443.5</v>
      </c>
      <c r="AO10" s="97">
        <v>19380</v>
      </c>
      <c r="AP10" s="374"/>
      <c r="AQ10" s="97"/>
      <c r="AR10" s="374"/>
      <c r="AS10" s="950"/>
      <c r="AT10" s="952"/>
      <c r="AU10" s="97"/>
      <c r="AV10" s="952"/>
      <c r="AW10" s="97"/>
      <c r="AX10" s="952">
        <f>370692.04+86974.66+0.02</f>
        <v>457666.72</v>
      </c>
      <c r="AY10" s="950">
        <f>266430+87338</f>
        <v>353768</v>
      </c>
      <c r="AZ10" s="952">
        <f t="shared" si="0"/>
        <v>457666.72</v>
      </c>
      <c r="BA10" s="105">
        <f t="shared" si="0"/>
        <v>353768</v>
      </c>
    </row>
    <row r="11" spans="1:53" ht="13.5" x14ac:dyDescent="0.3">
      <c r="A11" s="957" t="s">
        <v>211</v>
      </c>
      <c r="B11" s="959"/>
      <c r="C11" s="950"/>
      <c r="D11" s="952">
        <v>6767</v>
      </c>
      <c r="E11" s="950">
        <v>7251</v>
      </c>
      <c r="F11" s="952"/>
      <c r="G11" s="950"/>
      <c r="H11" s="952"/>
      <c r="I11" s="950"/>
      <c r="J11" s="952"/>
      <c r="K11" s="950"/>
      <c r="L11" s="952"/>
      <c r="M11" s="950"/>
      <c r="N11" s="952"/>
      <c r="O11" s="950"/>
      <c r="P11" s="952"/>
      <c r="Q11" s="950"/>
      <c r="R11" s="952">
        <v>23.74</v>
      </c>
      <c r="S11" s="950">
        <v>25</v>
      </c>
      <c r="T11" s="952"/>
      <c r="U11" s="950"/>
      <c r="V11" s="952"/>
      <c r="W11" s="950"/>
      <c r="X11" s="952"/>
      <c r="Y11" s="950"/>
      <c r="Z11" s="952"/>
      <c r="AA11" s="950"/>
      <c r="AB11" s="952"/>
      <c r="AC11" s="97"/>
      <c r="AD11" s="374"/>
      <c r="AE11" s="97"/>
      <c r="AF11" s="374"/>
      <c r="AG11" s="97"/>
      <c r="AH11" s="374"/>
      <c r="AI11" s="97"/>
      <c r="AJ11" s="374"/>
      <c r="AK11" s="97"/>
      <c r="AL11" s="374"/>
      <c r="AM11" s="953"/>
      <c r="AN11" s="400"/>
      <c r="AO11" s="97"/>
      <c r="AP11" s="374"/>
      <c r="AQ11" s="97"/>
      <c r="AR11" s="374"/>
      <c r="AS11" s="950"/>
      <c r="AT11" s="952"/>
      <c r="AU11" s="97"/>
      <c r="AV11" s="952"/>
      <c r="AW11" s="97"/>
      <c r="AX11" s="952">
        <v>281322.17</v>
      </c>
      <c r="AY11" s="950">
        <v>225011</v>
      </c>
      <c r="AZ11" s="952">
        <f t="shared" si="0"/>
        <v>281322.17</v>
      </c>
      <c r="BA11" s="105">
        <f t="shared" si="0"/>
        <v>225011</v>
      </c>
    </row>
    <row r="12" spans="1:53" ht="13.5" x14ac:dyDescent="0.3">
      <c r="A12" s="957" t="s">
        <v>301</v>
      </c>
      <c r="B12" s="959"/>
      <c r="C12" s="950"/>
      <c r="D12" s="952"/>
      <c r="E12" s="950"/>
      <c r="F12" s="952"/>
      <c r="G12" s="950"/>
      <c r="H12" s="952"/>
      <c r="I12" s="950"/>
      <c r="J12" s="952"/>
      <c r="K12" s="950"/>
      <c r="L12" s="952"/>
      <c r="M12" s="950"/>
      <c r="N12" s="952"/>
      <c r="O12" s="950"/>
      <c r="P12" s="952">
        <v>-11.62</v>
      </c>
      <c r="Q12" s="950">
        <v>-2</v>
      </c>
      <c r="R12" s="952"/>
      <c r="S12" s="950"/>
      <c r="T12" s="952">
        <v>2.62</v>
      </c>
      <c r="U12" s="950">
        <v>1</v>
      </c>
      <c r="V12" s="952"/>
      <c r="W12" s="950"/>
      <c r="X12" s="952"/>
      <c r="Y12" s="950"/>
      <c r="Z12" s="952"/>
      <c r="AA12" s="950"/>
      <c r="AB12" s="952"/>
      <c r="AC12" s="97"/>
      <c r="AD12" s="374"/>
      <c r="AE12" s="97"/>
      <c r="AF12" s="374"/>
      <c r="AG12" s="97"/>
      <c r="AH12" s="374"/>
      <c r="AI12" s="97"/>
      <c r="AJ12" s="374"/>
      <c r="AK12" s="97"/>
      <c r="AL12" s="374"/>
      <c r="AM12" s="953"/>
      <c r="AN12" s="400"/>
      <c r="AO12" s="97"/>
      <c r="AP12" s="374"/>
      <c r="AQ12" s="97"/>
      <c r="AR12" s="374"/>
      <c r="AS12" s="950"/>
      <c r="AT12" s="952"/>
      <c r="AU12" s="97"/>
      <c r="AV12" s="952"/>
      <c r="AW12" s="97"/>
      <c r="AX12" s="952">
        <v>-1262130.78</v>
      </c>
      <c r="AY12" s="950">
        <v>-1124820</v>
      </c>
      <c r="AZ12" s="952">
        <f t="shared" si="0"/>
        <v>-1262130.78</v>
      </c>
      <c r="BA12" s="105">
        <f t="shared" si="0"/>
        <v>-1124820</v>
      </c>
    </row>
    <row r="13" spans="1:53" s="1031" customFormat="1" ht="14.25" x14ac:dyDescent="0.3">
      <c r="A13" s="958" t="s">
        <v>54</v>
      </c>
      <c r="B13" s="960">
        <f>B9</f>
        <v>21495</v>
      </c>
      <c r="C13" s="1024">
        <f>C9</f>
        <v>29406</v>
      </c>
      <c r="D13" s="960">
        <v>7027</v>
      </c>
      <c r="E13" s="1025">
        <f>E9+E11</f>
        <v>7521</v>
      </c>
      <c r="F13" s="1026"/>
      <c r="G13" s="1024"/>
      <c r="H13" s="960">
        <f>H9</f>
        <v>46603.3</v>
      </c>
      <c r="I13" s="1024">
        <f>I9</f>
        <v>51495</v>
      </c>
      <c r="J13" s="960">
        <v>2600.98</v>
      </c>
      <c r="K13" s="1024">
        <f>K9</f>
        <v>3300</v>
      </c>
      <c r="L13" s="960">
        <f>L9</f>
        <v>333.54</v>
      </c>
      <c r="M13" s="1024">
        <f>SUM(M5:M11)</f>
        <v>826</v>
      </c>
      <c r="N13" s="960">
        <f>N9</f>
        <v>6337.86</v>
      </c>
      <c r="O13" s="1024">
        <f>SUM(O5:O11)</f>
        <v>9096</v>
      </c>
      <c r="P13" s="960">
        <v>1480</v>
      </c>
      <c r="Q13" s="1024">
        <v>2087</v>
      </c>
      <c r="R13" s="960">
        <v>53324.85</v>
      </c>
      <c r="S13" s="1024">
        <f>SUM(S5:S11)</f>
        <v>62910</v>
      </c>
      <c r="T13" s="960">
        <v>2641.35</v>
      </c>
      <c r="U13" s="1024">
        <v>4112</v>
      </c>
      <c r="V13" s="960">
        <v>42404.91</v>
      </c>
      <c r="W13" s="1024">
        <f>SUM(W5:W11)</f>
        <v>64283</v>
      </c>
      <c r="X13" s="960">
        <v>66282.06</v>
      </c>
      <c r="Y13" s="1024">
        <f>SUM(Y5:Y11)</f>
        <v>94012</v>
      </c>
      <c r="Z13" s="960">
        <v>980.54</v>
      </c>
      <c r="AA13" s="1024">
        <f>SUM(AA5:AA11)</f>
        <v>1395</v>
      </c>
      <c r="AB13" s="960">
        <v>1434.82</v>
      </c>
      <c r="AC13" s="1027">
        <f>SUM(AC5:AC11)</f>
        <v>2322</v>
      </c>
      <c r="AD13" s="1028">
        <f>AD9</f>
        <v>6428.98</v>
      </c>
      <c r="AE13" s="1027">
        <f>SUM(AE5:AE11)</f>
        <v>7397</v>
      </c>
      <c r="AF13" s="1028">
        <f>AF9</f>
        <v>53222.46</v>
      </c>
      <c r="AG13" s="1027">
        <f>AG9</f>
        <v>66607</v>
      </c>
      <c r="AH13" s="1028">
        <f>AH9</f>
        <v>9209</v>
      </c>
      <c r="AI13" s="1027">
        <f>AI9</f>
        <v>16288</v>
      </c>
      <c r="AJ13" s="1028">
        <f>AJ9</f>
        <v>6354.62</v>
      </c>
      <c r="AK13" s="1027">
        <f>SUM(AK5:AK11)</f>
        <v>8213</v>
      </c>
      <c r="AL13" s="1028"/>
      <c r="AM13" s="1029"/>
      <c r="AN13" s="1030">
        <v>35807.81</v>
      </c>
      <c r="AO13" s="1027">
        <f>SUM(AO5:AO11)</f>
        <v>36268</v>
      </c>
      <c r="AP13" s="1028">
        <f>AP9</f>
        <v>6303.49</v>
      </c>
      <c r="AQ13" s="1027">
        <f>SUM(AQ5:AQ11)</f>
        <v>8884</v>
      </c>
      <c r="AR13" s="1028">
        <f>AR9</f>
        <v>1290.71</v>
      </c>
      <c r="AS13" s="1024">
        <f>SUM(AS5:AS11)</f>
        <v>1690</v>
      </c>
      <c r="AT13" s="960">
        <f>AT9</f>
        <v>46867.45</v>
      </c>
      <c r="AU13" s="1027">
        <f>AU9</f>
        <v>50630</v>
      </c>
      <c r="AV13" s="1026">
        <f>SUM(B13+D13+F13+H13+J13+L13+N13+P13+R13+T13+V13+X13+Z13+AB13+AD13+AF13+AH13+AJ13+AL13+AN13+AP13+AR13+AT13)</f>
        <v>418430.73000000004</v>
      </c>
      <c r="AW13" s="1190">
        <f>SUM(C13+E13+G13+I13+K13+M13+O13+Q13+S13+U13+W13+Y13+AA13+AC13+AE13+AG13+AI13+AK13+AM13+AO13+AQ13+AS13+AU13)</f>
        <v>528742</v>
      </c>
      <c r="AX13" s="960">
        <f>SUM(AX6:AX12)</f>
        <v>10778333.760000002</v>
      </c>
      <c r="AY13" s="1024">
        <f>SUM(AY6:AY12)</f>
        <v>10987561</v>
      </c>
      <c r="AZ13" s="1026">
        <f t="shared" si="0"/>
        <v>11196764.490000002</v>
      </c>
      <c r="BA13" s="703">
        <f t="shared" si="0"/>
        <v>11516303</v>
      </c>
    </row>
    <row r="14" spans="1:53" ht="14.25" x14ac:dyDescent="0.3">
      <c r="A14" s="414" t="s">
        <v>212</v>
      </c>
      <c r="B14" s="878"/>
      <c r="C14" s="950"/>
      <c r="D14" s="952"/>
      <c r="E14" s="950"/>
      <c r="F14" s="952"/>
      <c r="G14" s="950"/>
      <c r="H14" s="952"/>
      <c r="I14" s="950"/>
      <c r="J14" s="952"/>
      <c r="K14" s="950"/>
      <c r="L14" s="952"/>
      <c r="M14" s="950"/>
      <c r="N14" s="952"/>
      <c r="O14" s="950"/>
      <c r="P14" s="952"/>
      <c r="Q14" s="950"/>
      <c r="R14" s="952"/>
      <c r="S14" s="950"/>
      <c r="T14" s="952"/>
      <c r="U14" s="950"/>
      <c r="V14" s="952"/>
      <c r="W14" s="950"/>
      <c r="X14" s="952"/>
      <c r="Y14" s="950"/>
      <c r="Z14" s="952"/>
      <c r="AA14" s="950"/>
      <c r="AB14" s="952"/>
      <c r="AC14" s="97"/>
      <c r="AD14" s="374"/>
      <c r="AE14" s="97"/>
      <c r="AF14" s="374"/>
      <c r="AG14" s="97"/>
      <c r="AH14" s="374"/>
      <c r="AI14" s="97"/>
      <c r="AJ14" s="374"/>
      <c r="AK14" s="97"/>
      <c r="AL14" s="374"/>
      <c r="AM14" s="953"/>
      <c r="AN14" s="400"/>
      <c r="AO14" s="97"/>
      <c r="AP14" s="374"/>
      <c r="AQ14" s="97"/>
      <c r="AR14" s="374"/>
      <c r="AS14" s="950"/>
      <c r="AT14" s="952"/>
      <c r="AU14" s="97"/>
      <c r="AV14" s="952"/>
      <c r="AW14" s="97"/>
      <c r="AX14" s="952"/>
      <c r="AY14" s="950"/>
      <c r="AZ14" s="952"/>
      <c r="BA14" s="105"/>
    </row>
    <row r="15" spans="1:53" x14ac:dyDescent="0.25">
      <c r="A15" s="365" t="s">
        <v>213</v>
      </c>
      <c r="B15" s="727"/>
      <c r="C15" s="950"/>
      <c r="D15" s="952"/>
      <c r="E15" s="950"/>
      <c r="F15" s="952"/>
      <c r="G15" s="950"/>
      <c r="H15" s="952"/>
      <c r="I15" s="950"/>
      <c r="J15" s="952"/>
      <c r="K15" s="950"/>
      <c r="L15" s="952"/>
      <c r="M15" s="950"/>
      <c r="N15" s="952"/>
      <c r="O15" s="950"/>
      <c r="P15" s="952"/>
      <c r="Q15" s="950"/>
      <c r="R15" s="952"/>
      <c r="S15" s="950"/>
      <c r="T15" s="952"/>
      <c r="U15" s="950"/>
      <c r="V15" s="952"/>
      <c r="W15" s="950"/>
      <c r="X15" s="952"/>
      <c r="Y15" s="950"/>
      <c r="Z15" s="952"/>
      <c r="AA15" s="950"/>
      <c r="AB15" s="952"/>
      <c r="AC15" s="97"/>
      <c r="AD15" s="374"/>
      <c r="AE15" s="97"/>
      <c r="AF15" s="374"/>
      <c r="AG15" s="97"/>
      <c r="AH15" s="374"/>
      <c r="AI15" s="97"/>
      <c r="AJ15" s="374"/>
      <c r="AK15" s="97"/>
      <c r="AL15" s="374"/>
      <c r="AM15" s="953"/>
      <c r="AN15" s="400"/>
      <c r="AO15" s="97"/>
      <c r="AP15" s="374"/>
      <c r="AQ15" s="97"/>
      <c r="AR15" s="374"/>
      <c r="AS15" s="950"/>
      <c r="AT15" s="952"/>
      <c r="AU15" s="97"/>
      <c r="AV15" s="952"/>
      <c r="AW15" s="97"/>
      <c r="AX15" s="952">
        <v>233074.89</v>
      </c>
      <c r="AY15" s="950">
        <v>187437</v>
      </c>
      <c r="AZ15" s="952">
        <f>AV15+AX15</f>
        <v>233074.89</v>
      </c>
      <c r="BA15" s="105">
        <f>AW15+AY15</f>
        <v>187437</v>
      </c>
    </row>
    <row r="16" spans="1:53" x14ac:dyDescent="0.25">
      <c r="A16" s="365" t="s">
        <v>214</v>
      </c>
      <c r="B16" s="727"/>
      <c r="C16" s="950"/>
      <c r="D16" s="952"/>
      <c r="E16" s="961"/>
      <c r="F16" s="117"/>
      <c r="G16" s="950"/>
      <c r="H16" s="952"/>
      <c r="I16" s="950"/>
      <c r="J16" s="952"/>
      <c r="K16" s="950"/>
      <c r="L16" s="952"/>
      <c r="M16" s="950"/>
      <c r="N16" s="952"/>
      <c r="O16" s="950"/>
      <c r="P16" s="952"/>
      <c r="Q16" s="950"/>
      <c r="R16" s="952"/>
      <c r="S16" s="950"/>
      <c r="T16" s="952"/>
      <c r="U16" s="950"/>
      <c r="V16" s="952"/>
      <c r="W16" s="950"/>
      <c r="X16" s="952"/>
      <c r="Y16" s="950"/>
      <c r="Z16" s="952"/>
      <c r="AA16" s="950"/>
      <c r="AB16" s="952"/>
      <c r="AC16" s="97"/>
      <c r="AD16" s="374"/>
      <c r="AE16" s="97"/>
      <c r="AF16" s="374"/>
      <c r="AG16" s="97"/>
      <c r="AH16" s="374"/>
      <c r="AI16" s="97"/>
      <c r="AJ16" s="374"/>
      <c r="AK16" s="97"/>
      <c r="AL16" s="374"/>
      <c r="AM16" s="953"/>
      <c r="AN16" s="400">
        <v>24443.5</v>
      </c>
      <c r="AO16" s="97">
        <v>19380</v>
      </c>
      <c r="AP16" s="374"/>
      <c r="AQ16" s="97"/>
      <c r="AR16" s="374"/>
      <c r="AS16" s="950"/>
      <c r="AT16" s="952"/>
      <c r="AU16" s="97"/>
      <c r="AV16" s="952"/>
      <c r="AW16" s="97"/>
      <c r="AX16" s="952"/>
      <c r="AY16" s="950"/>
      <c r="AZ16" s="952"/>
      <c r="BA16" s="105"/>
    </row>
    <row r="17" spans="1:53" x14ac:dyDescent="0.25">
      <c r="A17" s="365" t="s">
        <v>215</v>
      </c>
      <c r="B17" s="727"/>
      <c r="C17" s="950"/>
      <c r="D17" s="952"/>
      <c r="E17" s="950"/>
      <c r="F17" s="952"/>
      <c r="G17" s="950"/>
      <c r="H17" s="952"/>
      <c r="I17" s="950"/>
      <c r="J17" s="952"/>
      <c r="K17" s="950"/>
      <c r="L17" s="952"/>
      <c r="M17" s="950"/>
      <c r="N17" s="952"/>
      <c r="O17" s="950"/>
      <c r="P17" s="952"/>
      <c r="Q17" s="950"/>
      <c r="R17" s="952"/>
      <c r="S17" s="950"/>
      <c r="T17" s="952"/>
      <c r="U17" s="950"/>
      <c r="V17" s="952"/>
      <c r="W17" s="950"/>
      <c r="X17" s="952"/>
      <c r="Y17" s="950"/>
      <c r="Z17" s="952"/>
      <c r="AA17" s="950"/>
      <c r="AB17" s="952"/>
      <c r="AC17" s="97"/>
      <c r="AD17" s="374"/>
      <c r="AE17" s="97"/>
      <c r="AF17" s="374"/>
      <c r="AG17" s="97"/>
      <c r="AH17" s="374"/>
      <c r="AI17" s="97"/>
      <c r="AJ17" s="374"/>
      <c r="AK17" s="97"/>
      <c r="AL17" s="374"/>
      <c r="AM17" s="953"/>
      <c r="AN17" s="400"/>
      <c r="AO17" s="97"/>
      <c r="AP17" s="374"/>
      <c r="AQ17" s="97"/>
      <c r="AR17" s="374"/>
      <c r="AS17" s="950"/>
      <c r="AT17" s="952"/>
      <c r="AU17" s="97"/>
      <c r="AV17" s="952"/>
      <c r="AW17" s="97"/>
      <c r="AX17" s="952"/>
      <c r="AY17" s="950"/>
      <c r="AZ17" s="952"/>
      <c r="BA17" s="105"/>
    </row>
    <row r="18" spans="1:53" x14ac:dyDescent="0.25">
      <c r="A18" s="365" t="s">
        <v>216</v>
      </c>
      <c r="B18" s="727"/>
      <c r="C18" s="950"/>
      <c r="D18" s="952"/>
      <c r="E18" s="950"/>
      <c r="F18" s="952"/>
      <c r="G18" s="950"/>
      <c r="H18" s="952"/>
      <c r="I18" s="950"/>
      <c r="J18" s="952"/>
      <c r="K18" s="950"/>
      <c r="L18" s="952"/>
      <c r="M18" s="950"/>
      <c r="N18" s="952"/>
      <c r="O18" s="950"/>
      <c r="P18" s="952"/>
      <c r="Q18" s="950"/>
      <c r="R18" s="952"/>
      <c r="S18" s="950"/>
      <c r="T18" s="952"/>
      <c r="U18" s="950"/>
      <c r="V18" s="952"/>
      <c r="W18" s="950"/>
      <c r="X18" s="952"/>
      <c r="Y18" s="950"/>
      <c r="Z18" s="952"/>
      <c r="AA18" s="950"/>
      <c r="AB18" s="952"/>
      <c r="AC18" s="97"/>
      <c r="AD18" s="374"/>
      <c r="AE18" s="97"/>
      <c r="AF18" s="374"/>
      <c r="AG18" s="97"/>
      <c r="AH18" s="374"/>
      <c r="AI18" s="97"/>
      <c r="AJ18" s="374"/>
      <c r="AK18" s="97"/>
      <c r="AL18" s="374"/>
      <c r="AM18" s="953"/>
      <c r="AN18" s="400"/>
      <c r="AO18" s="97"/>
      <c r="AP18" s="374"/>
      <c r="AQ18" s="97"/>
      <c r="AR18" s="374"/>
      <c r="AS18" s="950"/>
      <c r="AT18" s="952"/>
      <c r="AU18" s="97"/>
      <c r="AV18" s="952"/>
      <c r="AW18" s="97"/>
      <c r="AX18" s="952">
        <v>1162395.06</v>
      </c>
      <c r="AY18" s="950">
        <v>1073195</v>
      </c>
      <c r="AZ18" s="952">
        <f>AV18+AX18</f>
        <v>1162395.06</v>
      </c>
      <c r="BA18" s="105">
        <f>AW18+AY18</f>
        <v>1073195</v>
      </c>
    </row>
    <row r="19" spans="1:53" x14ac:dyDescent="0.25">
      <c r="A19" s="365" t="s">
        <v>217</v>
      </c>
      <c r="B19" s="727">
        <f>B9</f>
        <v>21495</v>
      </c>
      <c r="C19" s="950">
        <f>C9</f>
        <v>29406</v>
      </c>
      <c r="D19" s="952">
        <v>260</v>
      </c>
      <c r="E19" s="950">
        <v>270</v>
      </c>
      <c r="F19" s="952"/>
      <c r="G19" s="950"/>
      <c r="H19" s="952">
        <f>H13</f>
        <v>46603.3</v>
      </c>
      <c r="I19" s="950">
        <f>I9</f>
        <v>51495</v>
      </c>
      <c r="J19" s="952">
        <f>J13</f>
        <v>2600.98</v>
      </c>
      <c r="K19" s="950">
        <f>K9</f>
        <v>3300</v>
      </c>
      <c r="L19" s="952">
        <f>L9</f>
        <v>333.54</v>
      </c>
      <c r="M19" s="950">
        <v>826</v>
      </c>
      <c r="N19" s="952">
        <f>N9</f>
        <v>6337.86</v>
      </c>
      <c r="O19" s="950">
        <v>9096</v>
      </c>
      <c r="P19" s="952">
        <f>P9</f>
        <v>1465.16</v>
      </c>
      <c r="Q19" s="950">
        <f>Q9</f>
        <v>2039</v>
      </c>
      <c r="R19" s="952">
        <v>53301.1</v>
      </c>
      <c r="S19" s="950">
        <v>62885</v>
      </c>
      <c r="T19" s="952">
        <v>2638.73</v>
      </c>
      <c r="U19" s="950">
        <v>4111</v>
      </c>
      <c r="V19" s="952">
        <v>42404.91</v>
      </c>
      <c r="W19" s="950">
        <v>64283</v>
      </c>
      <c r="X19" s="952">
        <v>66282.06</v>
      </c>
      <c r="Y19" s="950">
        <f>Y13</f>
        <v>94012</v>
      </c>
      <c r="Z19" s="952">
        <f>Z9</f>
        <v>980.54</v>
      </c>
      <c r="AA19" s="950">
        <f>AA13</f>
        <v>1395</v>
      </c>
      <c r="AB19" s="952">
        <v>1434.82</v>
      </c>
      <c r="AC19" s="97">
        <f>AC13</f>
        <v>2322</v>
      </c>
      <c r="AD19" s="374">
        <f>AD9</f>
        <v>6428.98</v>
      </c>
      <c r="AE19" s="97">
        <v>7397</v>
      </c>
      <c r="AF19" s="374">
        <f>AF9</f>
        <v>53222.46</v>
      </c>
      <c r="AG19" s="97">
        <f>AG13</f>
        <v>66607</v>
      </c>
      <c r="AH19" s="374">
        <f>AH9</f>
        <v>9209</v>
      </c>
      <c r="AI19" s="97">
        <f>AI9</f>
        <v>16288</v>
      </c>
      <c r="AJ19" s="374">
        <f>AJ9</f>
        <v>6354.62</v>
      </c>
      <c r="AK19" s="97">
        <f>AK13</f>
        <v>8213</v>
      </c>
      <c r="AL19" s="374"/>
      <c r="AM19" s="953"/>
      <c r="AN19" s="400">
        <v>11364.31</v>
      </c>
      <c r="AO19" s="97">
        <v>16888</v>
      </c>
      <c r="AP19" s="374">
        <v>6303.49</v>
      </c>
      <c r="AQ19" s="97">
        <f>AQ9</f>
        <v>8884</v>
      </c>
      <c r="AR19" s="374">
        <f>AR9</f>
        <v>1290.71</v>
      </c>
      <c r="AS19" s="950">
        <f>AS13</f>
        <v>1690</v>
      </c>
      <c r="AT19" s="952">
        <f>AT9</f>
        <v>46867.45</v>
      </c>
      <c r="AU19" s="97">
        <f>AU9</f>
        <v>50630</v>
      </c>
      <c r="AV19" s="952">
        <f>SUM(B19+D19+F19+H19+J19+L19+N19+P19+R19+T19+V19+X19+Z19+AB19+AD19+AF19+AH19+AJ19+AL19+AN19+AP19+AR19+AT19)</f>
        <v>387179.02000000008</v>
      </c>
      <c r="AW19" s="1191">
        <f>SUM(C19+E19+G19+I19+K19+M19+O19+Q19+S19+U19+W19+Y19+AA19+AC19+AE19+AG19+AI19+AK19+AM19+AO19+AQ19+AS19+AU19)</f>
        <v>502037</v>
      </c>
      <c r="AX19" s="952">
        <v>10103158.25</v>
      </c>
      <c r="AY19" s="950">
        <v>10442616</v>
      </c>
      <c r="AZ19" s="952">
        <f>AV19+AX19</f>
        <v>10490337.27</v>
      </c>
      <c r="BA19" s="105">
        <f>AW19+AY19</f>
        <v>10944653</v>
      </c>
    </row>
    <row r="20" spans="1:53" x14ac:dyDescent="0.25">
      <c r="A20" s="365" t="s">
        <v>218</v>
      </c>
      <c r="B20" s="727"/>
      <c r="C20" s="950"/>
      <c r="D20" s="952">
        <v>6767</v>
      </c>
      <c r="E20" s="950">
        <v>7251</v>
      </c>
      <c r="F20" s="952"/>
      <c r="G20" s="950"/>
      <c r="H20" s="952"/>
      <c r="I20" s="950"/>
      <c r="J20" s="952"/>
      <c r="K20" s="950"/>
      <c r="L20" s="952"/>
      <c r="M20" s="950"/>
      <c r="N20" s="952"/>
      <c r="O20" s="950"/>
      <c r="P20" s="952">
        <f>P10</f>
        <v>26.31</v>
      </c>
      <c r="Q20" s="950">
        <f>Q10</f>
        <v>50</v>
      </c>
      <c r="R20" s="952">
        <v>23.74</v>
      </c>
      <c r="S20" s="950">
        <v>25</v>
      </c>
      <c r="T20" s="952">
        <v>2.62</v>
      </c>
      <c r="U20" s="950">
        <v>1</v>
      </c>
      <c r="V20" s="952"/>
      <c r="W20" s="950"/>
      <c r="X20" s="952"/>
      <c r="Y20" s="950"/>
      <c r="Z20" s="952"/>
      <c r="AA20" s="950"/>
      <c r="AB20" s="952"/>
      <c r="AC20" s="97"/>
      <c r="AD20" s="374"/>
      <c r="AE20" s="97"/>
      <c r="AF20" s="374"/>
      <c r="AG20" s="97"/>
      <c r="AH20" s="374"/>
      <c r="AI20" s="97"/>
      <c r="AJ20" s="374"/>
      <c r="AK20" s="97"/>
      <c r="AL20" s="374"/>
      <c r="AM20" s="953"/>
      <c r="AN20" s="400"/>
      <c r="AO20" s="97"/>
      <c r="AP20" s="374"/>
      <c r="AQ20" s="97"/>
      <c r="AR20" s="374"/>
      <c r="AS20" s="950"/>
      <c r="AT20" s="952"/>
      <c r="AU20" s="97"/>
      <c r="AV20" s="952"/>
      <c r="AW20" s="97"/>
      <c r="AX20" s="952">
        <f>32978.32+5280.53+130493.47+616+38233.64+2666.64+331567.1+2+0.62</f>
        <v>541838.31999999995</v>
      </c>
      <c r="AY20" s="950">
        <f>30234+4452+86090+616+26572+1999+259168</f>
        <v>409131</v>
      </c>
      <c r="AZ20" s="952">
        <f>AV20+AX20</f>
        <v>541838.31999999995</v>
      </c>
      <c r="BA20" s="105"/>
    </row>
    <row r="21" spans="1:53" ht="13.5" x14ac:dyDescent="0.3">
      <c r="A21" s="957" t="s">
        <v>301</v>
      </c>
      <c r="B21" s="959"/>
      <c r="C21" s="950"/>
      <c r="D21" s="952"/>
      <c r="E21" s="950"/>
      <c r="F21" s="952"/>
      <c r="G21" s="950"/>
      <c r="H21" s="952"/>
      <c r="I21" s="950"/>
      <c r="J21" s="952"/>
      <c r="K21" s="950"/>
      <c r="L21" s="952"/>
      <c r="M21" s="950"/>
      <c r="N21" s="952"/>
      <c r="O21" s="950"/>
      <c r="P21" s="952">
        <f>P12</f>
        <v>-11.62</v>
      </c>
      <c r="Q21" s="950">
        <v>-2</v>
      </c>
      <c r="R21" s="952"/>
      <c r="S21" s="950"/>
      <c r="T21" s="952"/>
      <c r="U21" s="950"/>
      <c r="V21" s="952"/>
      <c r="W21" s="950"/>
      <c r="X21" s="952"/>
      <c r="Y21" s="950"/>
      <c r="Z21" s="952"/>
      <c r="AA21" s="950"/>
      <c r="AB21" s="952"/>
      <c r="AC21" s="97"/>
      <c r="AD21" s="374"/>
      <c r="AE21" s="97"/>
      <c r="AF21" s="374"/>
      <c r="AG21" s="97"/>
      <c r="AH21" s="374"/>
      <c r="AI21" s="97"/>
      <c r="AJ21" s="374"/>
      <c r="AK21" s="97"/>
      <c r="AL21" s="374"/>
      <c r="AM21" s="953"/>
      <c r="AN21" s="400"/>
      <c r="AO21" s="97"/>
      <c r="AP21" s="374"/>
      <c r="AQ21" s="97"/>
      <c r="AR21" s="374"/>
      <c r="AS21" s="950"/>
      <c r="AT21" s="952"/>
      <c r="AU21" s="97"/>
      <c r="AV21" s="952"/>
      <c r="AW21" s="97"/>
      <c r="AX21" s="952">
        <v>-126213078</v>
      </c>
      <c r="AY21" s="950">
        <v>-1124820</v>
      </c>
      <c r="AZ21" s="952">
        <f>AV21+AX21</f>
        <v>-126213078</v>
      </c>
      <c r="BA21" s="105"/>
    </row>
    <row r="22" spans="1:53" s="1031" customFormat="1" ht="14.25" x14ac:dyDescent="0.3">
      <c r="A22" s="958" t="s">
        <v>54</v>
      </c>
      <c r="B22" s="960">
        <f>B9</f>
        <v>21495</v>
      </c>
      <c r="C22" s="1024">
        <f>C9</f>
        <v>29406</v>
      </c>
      <c r="D22" s="960">
        <v>7027</v>
      </c>
      <c r="E22" s="1025">
        <f>E19+E20</f>
        <v>7521</v>
      </c>
      <c r="F22" s="1026"/>
      <c r="G22" s="1024"/>
      <c r="H22" s="960">
        <f>H13</f>
        <v>46603.3</v>
      </c>
      <c r="I22" s="1024">
        <f>I19</f>
        <v>51495</v>
      </c>
      <c r="J22" s="960">
        <f>J13</f>
        <v>2600.98</v>
      </c>
      <c r="K22" s="1024">
        <f>K9</f>
        <v>3300</v>
      </c>
      <c r="L22" s="960">
        <f>L9</f>
        <v>333.54</v>
      </c>
      <c r="M22" s="1024">
        <v>826</v>
      </c>
      <c r="N22" s="960">
        <f>N9</f>
        <v>6337.86</v>
      </c>
      <c r="O22" s="1024">
        <f>O19</f>
        <v>9096</v>
      </c>
      <c r="P22" s="960">
        <f>P13</f>
        <v>1480</v>
      </c>
      <c r="Q22" s="1024">
        <v>2087</v>
      </c>
      <c r="R22" s="960">
        <v>53324.85</v>
      </c>
      <c r="S22" s="1024">
        <f>S13</f>
        <v>62910</v>
      </c>
      <c r="T22" s="960">
        <v>2641.35</v>
      </c>
      <c r="U22" s="1024">
        <v>4112</v>
      </c>
      <c r="V22" s="960">
        <v>42404.91</v>
      </c>
      <c r="W22" s="1024">
        <f>W13</f>
        <v>64283</v>
      </c>
      <c r="X22" s="960">
        <v>66282.06</v>
      </c>
      <c r="Y22" s="1024">
        <f>Y13</f>
        <v>94012</v>
      </c>
      <c r="Z22" s="960">
        <f>Z9</f>
        <v>980.54</v>
      </c>
      <c r="AA22" s="1024">
        <f>AA19</f>
        <v>1395</v>
      </c>
      <c r="AB22" s="960">
        <v>1434.82</v>
      </c>
      <c r="AC22" s="1027">
        <f>AC19</f>
        <v>2322</v>
      </c>
      <c r="AD22" s="1028">
        <f>AD9</f>
        <v>6428.98</v>
      </c>
      <c r="AE22" s="1027">
        <f>AE13</f>
        <v>7397</v>
      </c>
      <c r="AF22" s="1028">
        <f>AF9</f>
        <v>53222.46</v>
      </c>
      <c r="AG22" s="1027">
        <f>AG19</f>
        <v>66607</v>
      </c>
      <c r="AH22" s="1028">
        <f>AH9</f>
        <v>9209</v>
      </c>
      <c r="AI22" s="1027">
        <f>AI9</f>
        <v>16288</v>
      </c>
      <c r="AJ22" s="1028">
        <f>AJ9</f>
        <v>6354.62</v>
      </c>
      <c r="AK22" s="1027">
        <f>AK19</f>
        <v>8213</v>
      </c>
      <c r="AL22" s="1028"/>
      <c r="AM22" s="1029"/>
      <c r="AN22" s="1030">
        <v>35807.81</v>
      </c>
      <c r="AO22" s="1027">
        <f>AO13</f>
        <v>36268</v>
      </c>
      <c r="AP22" s="1028">
        <f>AP9</f>
        <v>6303.49</v>
      </c>
      <c r="AQ22" s="1027">
        <f>AQ9</f>
        <v>8884</v>
      </c>
      <c r="AR22" s="1028">
        <f>AR9</f>
        <v>1290.71</v>
      </c>
      <c r="AS22" s="1024">
        <f>AS19</f>
        <v>1690</v>
      </c>
      <c r="AT22" s="960">
        <f>AT9</f>
        <v>46867.45</v>
      </c>
      <c r="AU22" s="1027">
        <f>AU9</f>
        <v>50630</v>
      </c>
      <c r="AV22" s="960">
        <f>SUM(B22+D22+F22+H22+J22+L22+N22+P22+R22+T22+V22+X22+Z22+AB22+AD22+AF22+AH22+AJ22+AL22+AN22+AP22+AR22+AT22)</f>
        <v>418430.73000000004</v>
      </c>
      <c r="AW22" s="1280">
        <f>SUM(C22+E22+G22+I22+K22+M22+O22+Q22+S22+U22+W22+Y22+AA22+AC22+AE22+AG22+AI22+AK22+AM22+AO22+AQ22+AS22+AU22)</f>
        <v>528742</v>
      </c>
      <c r="AX22" s="960">
        <v>1077833376</v>
      </c>
      <c r="AY22" s="1024">
        <f>AY13</f>
        <v>10987561</v>
      </c>
      <c r="AZ22" s="960">
        <f>AV22+AX22</f>
        <v>1078251806.73</v>
      </c>
      <c r="BA22" s="1281">
        <f>AW22+AY22</f>
        <v>11516303</v>
      </c>
    </row>
    <row r="23" spans="1:53" ht="14.25" x14ac:dyDescent="0.3">
      <c r="A23" s="414" t="s">
        <v>219</v>
      </c>
      <c r="B23" s="878"/>
      <c r="C23" s="950"/>
      <c r="D23" s="952"/>
      <c r="E23" s="950"/>
      <c r="F23" s="952"/>
      <c r="G23" s="950"/>
      <c r="H23" s="952"/>
      <c r="I23" s="950"/>
      <c r="J23" s="952"/>
      <c r="K23" s="950"/>
      <c r="L23" s="952"/>
      <c r="M23" s="950"/>
      <c r="N23" s="952"/>
      <c r="O23" s="950"/>
      <c r="P23" s="952"/>
      <c r="Q23" s="950"/>
      <c r="R23" s="952"/>
      <c r="S23" s="950"/>
      <c r="T23" s="952"/>
      <c r="U23" s="950"/>
      <c r="V23" s="952"/>
      <c r="W23" s="950"/>
      <c r="X23" s="952"/>
      <c r="Y23" s="950"/>
      <c r="Z23" s="952"/>
      <c r="AA23" s="950"/>
      <c r="AB23" s="952"/>
      <c r="AC23" s="97"/>
      <c r="AD23" s="374"/>
      <c r="AE23" s="97"/>
      <c r="AF23" s="374"/>
      <c r="AG23" s="97"/>
      <c r="AH23" s="374"/>
      <c r="AI23" s="97"/>
      <c r="AJ23" s="374"/>
      <c r="AK23" s="97"/>
      <c r="AL23" s="374"/>
      <c r="AM23" s="953"/>
      <c r="AN23" s="400"/>
      <c r="AO23" s="97"/>
      <c r="AP23" s="374"/>
      <c r="AQ23" s="97"/>
      <c r="AR23" s="374"/>
      <c r="AS23" s="950"/>
      <c r="AT23" s="952"/>
      <c r="AU23" s="97"/>
      <c r="AV23" s="952"/>
      <c r="AW23" s="97"/>
      <c r="AX23" s="952"/>
      <c r="AY23" s="950"/>
      <c r="AZ23" s="952"/>
      <c r="BA23" s="105"/>
    </row>
    <row r="24" spans="1:53" x14ac:dyDescent="0.25">
      <c r="A24" s="365" t="s">
        <v>220</v>
      </c>
      <c r="B24" s="727"/>
      <c r="C24" s="950"/>
      <c r="D24" s="952"/>
      <c r="E24" s="950"/>
      <c r="F24" s="952"/>
      <c r="G24" s="950"/>
      <c r="H24" s="952"/>
      <c r="I24" s="950"/>
      <c r="J24" s="952"/>
      <c r="K24" s="950"/>
      <c r="L24" s="952"/>
      <c r="M24" s="950"/>
      <c r="N24" s="952"/>
      <c r="O24" s="950"/>
      <c r="P24" s="952"/>
      <c r="Q24" s="950"/>
      <c r="R24" s="952"/>
      <c r="S24" s="950"/>
      <c r="T24" s="952"/>
      <c r="U24" s="950"/>
      <c r="V24" s="952"/>
      <c r="W24" s="950"/>
      <c r="X24" s="952"/>
      <c r="Y24" s="950"/>
      <c r="Z24" s="952"/>
      <c r="AA24" s="950"/>
      <c r="AB24" s="952"/>
      <c r="AC24" s="97"/>
      <c r="AD24" s="374"/>
      <c r="AE24" s="97"/>
      <c r="AF24" s="374"/>
      <c r="AG24" s="97"/>
      <c r="AH24" s="374"/>
      <c r="AI24" s="97"/>
      <c r="AJ24" s="374"/>
      <c r="AK24" s="97"/>
      <c r="AL24" s="374"/>
      <c r="AM24" s="953"/>
      <c r="AN24" s="400"/>
      <c r="AO24" s="97"/>
      <c r="AP24" s="374"/>
      <c r="AQ24" s="97"/>
      <c r="AR24" s="374"/>
      <c r="AS24" s="950"/>
      <c r="AT24" s="952"/>
      <c r="AU24" s="97"/>
      <c r="AV24" s="952"/>
      <c r="AW24" s="97"/>
      <c r="AX24" s="952"/>
      <c r="AY24" s="950"/>
      <c r="AZ24" s="952"/>
      <c r="BA24" s="105"/>
    </row>
    <row r="25" spans="1:53" x14ac:dyDescent="0.25">
      <c r="A25" s="365" t="s">
        <v>221</v>
      </c>
      <c r="B25" s="727">
        <f>B9</f>
        <v>21495</v>
      </c>
      <c r="C25" s="950">
        <f>C9</f>
        <v>29406</v>
      </c>
      <c r="D25" s="952">
        <v>7027</v>
      </c>
      <c r="E25" s="961">
        <f>E22</f>
        <v>7521</v>
      </c>
      <c r="F25" s="117"/>
      <c r="G25" s="950"/>
      <c r="H25" s="952">
        <v>46603.3</v>
      </c>
      <c r="I25" s="950">
        <f>I22</f>
        <v>51495</v>
      </c>
      <c r="J25" s="952">
        <f>J13</f>
        <v>2600.98</v>
      </c>
      <c r="K25" s="950">
        <f>K9</f>
        <v>3300</v>
      </c>
      <c r="L25" s="952">
        <f>L9</f>
        <v>333.54</v>
      </c>
      <c r="M25" s="950">
        <v>826</v>
      </c>
      <c r="N25" s="952">
        <f>N9</f>
        <v>6337.86</v>
      </c>
      <c r="O25" s="950">
        <f>O19</f>
        <v>9096</v>
      </c>
      <c r="P25" s="952">
        <v>1479.85</v>
      </c>
      <c r="Q25" s="950">
        <f>Q22</f>
        <v>2087</v>
      </c>
      <c r="R25" s="952">
        <v>53324.85</v>
      </c>
      <c r="S25" s="950">
        <f>S22</f>
        <v>62910</v>
      </c>
      <c r="T25" s="952">
        <v>2641.35</v>
      </c>
      <c r="U25" s="950">
        <f>U22</f>
        <v>4112</v>
      </c>
      <c r="V25" s="952">
        <v>42404.91</v>
      </c>
      <c r="W25" s="950">
        <f t="shared" ref="W25:AG25" si="1">W22</f>
        <v>64283</v>
      </c>
      <c r="X25" s="952">
        <v>66282.06</v>
      </c>
      <c r="Y25" s="950">
        <f t="shared" si="1"/>
        <v>94012</v>
      </c>
      <c r="Z25" s="952">
        <f>Z9</f>
        <v>980.54</v>
      </c>
      <c r="AA25" s="950">
        <f t="shared" si="1"/>
        <v>1395</v>
      </c>
      <c r="AB25" s="952">
        <v>1434.82</v>
      </c>
      <c r="AC25" s="97">
        <f t="shared" si="1"/>
        <v>2322</v>
      </c>
      <c r="AD25" s="374">
        <f>AD9</f>
        <v>6428.98</v>
      </c>
      <c r="AE25" s="97">
        <f t="shared" si="1"/>
        <v>7397</v>
      </c>
      <c r="AF25" s="374">
        <f>AF19</f>
        <v>53222.46</v>
      </c>
      <c r="AG25" s="97">
        <f t="shared" si="1"/>
        <v>66607</v>
      </c>
      <c r="AH25" s="374">
        <f>AH9</f>
        <v>9209</v>
      </c>
      <c r="AI25" s="97">
        <f>AI9</f>
        <v>16288</v>
      </c>
      <c r="AJ25" s="374">
        <f>AJ9</f>
        <v>6354.62</v>
      </c>
      <c r="AK25" s="97">
        <f>AK22</f>
        <v>8213</v>
      </c>
      <c r="AL25" s="374"/>
      <c r="AM25" s="953"/>
      <c r="AN25" s="400">
        <v>35807.81</v>
      </c>
      <c r="AO25" s="97">
        <f>AO22</f>
        <v>36268</v>
      </c>
      <c r="AP25" s="374">
        <f>AP9</f>
        <v>6303.49</v>
      </c>
      <c r="AQ25" s="97">
        <f>AQ9</f>
        <v>8884</v>
      </c>
      <c r="AR25" s="374">
        <f>AR9</f>
        <v>1290.71</v>
      </c>
      <c r="AS25" s="950">
        <f>AS22</f>
        <v>1690</v>
      </c>
      <c r="AT25" s="952">
        <f>AT9</f>
        <v>46867.45</v>
      </c>
      <c r="AU25" s="97">
        <f>AU9</f>
        <v>50630</v>
      </c>
      <c r="AV25" s="952">
        <f>SUM(B25+D25+F25+H25+J25+L25+N25+P25+R25+T25+V25+X25+Z25+AB25+AD25+AF25+AH25+AJ25+AL25+AN25+AP25+AR25+AT25)</f>
        <v>418430.58000000007</v>
      </c>
      <c r="AW25" s="1191">
        <f>SUM(C25+E25+G25+I25+K25+M25+O25+Q25+S25+U25+W25+Y25+AA25+AC25+AE25+AG25+AI25+AK25+AM25+AO25+AQ25+AS25+AU25)</f>
        <v>528742</v>
      </c>
      <c r="AX25" s="952">
        <v>10810504.289999999</v>
      </c>
      <c r="AY25" s="950">
        <v>11015087</v>
      </c>
      <c r="AZ25" s="952">
        <f t="shared" ref="AZ25:BA27" si="2">AV25+AX25</f>
        <v>11228934.869999999</v>
      </c>
      <c r="BA25" s="105">
        <f t="shared" si="2"/>
        <v>11543829</v>
      </c>
    </row>
    <row r="26" spans="1:53" x14ac:dyDescent="0.25">
      <c r="A26" s="365" t="s">
        <v>222</v>
      </c>
      <c r="B26" s="727"/>
      <c r="C26" s="950"/>
      <c r="D26" s="952"/>
      <c r="E26" s="950"/>
      <c r="F26" s="952"/>
      <c r="G26" s="950"/>
      <c r="H26" s="952"/>
      <c r="I26" s="950"/>
      <c r="J26" s="952"/>
      <c r="K26" s="950"/>
      <c r="L26" s="952"/>
      <c r="M26" s="950"/>
      <c r="N26" s="952"/>
      <c r="O26" s="950"/>
      <c r="P26" s="952"/>
      <c r="Q26" s="950"/>
      <c r="R26" s="952"/>
      <c r="S26" s="950"/>
      <c r="T26" s="952"/>
      <c r="U26" s="950"/>
      <c r="V26" s="952"/>
      <c r="W26" s="950"/>
      <c r="X26" s="952"/>
      <c r="Y26" s="950"/>
      <c r="Z26" s="952"/>
      <c r="AA26" s="950"/>
      <c r="AB26" s="952"/>
      <c r="AC26" s="97"/>
      <c r="AD26" s="374"/>
      <c r="AE26" s="97"/>
      <c r="AF26" s="374"/>
      <c r="AG26" s="97"/>
      <c r="AH26" s="374"/>
      <c r="AI26" s="97"/>
      <c r="AJ26" s="374"/>
      <c r="AK26" s="97"/>
      <c r="AL26" s="374"/>
      <c r="AM26" s="953"/>
      <c r="AN26" s="400"/>
      <c r="AO26" s="97"/>
      <c r="AP26" s="374"/>
      <c r="AQ26" s="97"/>
      <c r="AR26" s="374"/>
      <c r="AS26" s="950"/>
      <c r="AT26" s="952"/>
      <c r="AU26" s="97"/>
      <c r="AV26" s="952"/>
      <c r="AW26" s="97"/>
      <c r="AX26" s="952">
        <v>15907.81</v>
      </c>
      <c r="AY26" s="950">
        <v>15258</v>
      </c>
      <c r="AZ26" s="952">
        <f t="shared" si="2"/>
        <v>15907.81</v>
      </c>
      <c r="BA26" s="105">
        <f t="shared" si="2"/>
        <v>15258</v>
      </c>
    </row>
    <row r="27" spans="1:53" ht="13.5" x14ac:dyDescent="0.3">
      <c r="A27" s="957" t="s">
        <v>303</v>
      </c>
      <c r="B27" s="959"/>
      <c r="C27" s="950"/>
      <c r="D27" s="952"/>
      <c r="E27" s="950"/>
      <c r="F27" s="952"/>
      <c r="G27" s="950"/>
      <c r="H27" s="952"/>
      <c r="I27" s="950"/>
      <c r="J27" s="952"/>
      <c r="K27" s="950"/>
      <c r="L27" s="952"/>
      <c r="M27" s="950"/>
      <c r="N27" s="952"/>
      <c r="O27" s="950"/>
      <c r="P27" s="952"/>
      <c r="Q27" s="950"/>
      <c r="R27" s="952"/>
      <c r="S27" s="950"/>
      <c r="T27" s="952"/>
      <c r="U27" s="950"/>
      <c r="V27" s="952"/>
      <c r="W27" s="950"/>
      <c r="X27" s="952"/>
      <c r="Y27" s="950"/>
      <c r="Z27" s="952"/>
      <c r="AA27" s="950"/>
      <c r="AB27" s="952"/>
      <c r="AC27" s="97"/>
      <c r="AD27" s="374"/>
      <c r="AE27" s="97"/>
      <c r="AF27" s="374"/>
      <c r="AG27" s="97"/>
      <c r="AH27" s="374"/>
      <c r="AI27" s="97"/>
      <c r="AJ27" s="374"/>
      <c r="AK27" s="97"/>
      <c r="AL27" s="374"/>
      <c r="AM27" s="953"/>
      <c r="AN27" s="400"/>
      <c r="AO27" s="97"/>
      <c r="AP27" s="374"/>
      <c r="AQ27" s="97"/>
      <c r="AR27" s="374"/>
      <c r="AS27" s="950"/>
      <c r="AT27" s="952"/>
      <c r="AU27" s="97"/>
      <c r="AV27" s="952"/>
      <c r="AW27" s="97"/>
      <c r="AX27" s="952">
        <v>-11310.53</v>
      </c>
      <c r="AY27" s="950">
        <v>-50600</v>
      </c>
      <c r="AZ27" s="952">
        <f t="shared" si="2"/>
        <v>-11310.53</v>
      </c>
      <c r="BA27" s="105">
        <f t="shared" si="2"/>
        <v>-50600</v>
      </c>
    </row>
    <row r="28" spans="1:53" x14ac:dyDescent="0.25">
      <c r="A28" s="365" t="s">
        <v>223</v>
      </c>
      <c r="B28" s="727"/>
      <c r="C28" s="950"/>
      <c r="D28" s="952"/>
      <c r="E28" s="950"/>
      <c r="F28" s="952"/>
      <c r="G28" s="950"/>
      <c r="H28" s="952"/>
      <c r="I28" s="950"/>
      <c r="J28" s="952"/>
      <c r="K28" s="950"/>
      <c r="L28" s="952"/>
      <c r="M28" s="950"/>
      <c r="N28" s="952"/>
      <c r="O28" s="950"/>
      <c r="P28" s="952"/>
      <c r="Q28" s="950"/>
      <c r="R28" s="952"/>
      <c r="S28" s="950"/>
      <c r="T28" s="952"/>
      <c r="U28" s="950"/>
      <c r="V28" s="952"/>
      <c r="W28" s="950"/>
      <c r="X28" s="952"/>
      <c r="Y28" s="950"/>
      <c r="Z28" s="952"/>
      <c r="AA28" s="950"/>
      <c r="AB28" s="952"/>
      <c r="AC28" s="97"/>
      <c r="AD28" s="374"/>
      <c r="AE28" s="97"/>
      <c r="AF28" s="374"/>
      <c r="AG28" s="97"/>
      <c r="AH28" s="374"/>
      <c r="AI28" s="97"/>
      <c r="AJ28" s="374"/>
      <c r="AK28" s="97"/>
      <c r="AL28" s="374"/>
      <c r="AM28" s="953"/>
      <c r="AN28" s="400"/>
      <c r="AO28" s="97"/>
      <c r="AP28" s="374"/>
      <c r="AQ28" s="97"/>
      <c r="AR28" s="374"/>
      <c r="AS28" s="950"/>
      <c r="AT28" s="952"/>
      <c r="AU28" s="97"/>
      <c r="AV28" s="952"/>
      <c r="AW28" s="97"/>
      <c r="AX28" s="952"/>
      <c r="AY28" s="950"/>
      <c r="AZ28" s="952"/>
      <c r="BA28" s="105"/>
    </row>
    <row r="29" spans="1:53" x14ac:dyDescent="0.25">
      <c r="A29" s="365" t="s">
        <v>221</v>
      </c>
      <c r="B29" s="727"/>
      <c r="C29" s="950"/>
      <c r="D29" s="952"/>
      <c r="E29" s="950"/>
      <c r="F29" s="952"/>
      <c r="G29" s="950"/>
      <c r="H29" s="952"/>
      <c r="I29" s="950"/>
      <c r="J29" s="952"/>
      <c r="K29" s="950"/>
      <c r="L29" s="952"/>
      <c r="M29" s="950"/>
      <c r="N29" s="952"/>
      <c r="O29" s="950"/>
      <c r="P29" s="952"/>
      <c r="Q29" s="950"/>
      <c r="R29" s="952"/>
      <c r="S29" s="950"/>
      <c r="T29" s="952"/>
      <c r="U29" s="950"/>
      <c r="V29" s="952"/>
      <c r="W29" s="950"/>
      <c r="X29" s="952"/>
      <c r="Y29" s="950"/>
      <c r="Z29" s="952"/>
      <c r="AA29" s="950"/>
      <c r="AB29" s="952"/>
      <c r="AC29" s="97"/>
      <c r="AD29" s="374"/>
      <c r="AE29" s="97"/>
      <c r="AF29" s="374"/>
      <c r="AG29" s="97"/>
      <c r="AH29" s="374"/>
      <c r="AI29" s="97"/>
      <c r="AJ29" s="374"/>
      <c r="AK29" s="97"/>
      <c r="AL29" s="374"/>
      <c r="AM29" s="953"/>
      <c r="AN29" s="400"/>
      <c r="AO29" s="97"/>
      <c r="AP29" s="374"/>
      <c r="AQ29" s="97"/>
      <c r="AR29" s="374"/>
      <c r="AS29" s="950"/>
      <c r="AT29" s="952"/>
      <c r="AU29" s="97"/>
      <c r="AV29" s="952"/>
      <c r="AW29" s="97"/>
      <c r="AX29" s="952">
        <v>1212992.67</v>
      </c>
      <c r="AY29" s="950">
        <v>1081108</v>
      </c>
      <c r="AZ29" s="952">
        <f t="shared" ref="AZ29:BA32" si="3">AV29+AX29</f>
        <v>1212992.67</v>
      </c>
      <c r="BA29" s="105">
        <f t="shared" si="3"/>
        <v>1081108</v>
      </c>
    </row>
    <row r="30" spans="1:53" x14ac:dyDescent="0.25">
      <c r="A30" s="365" t="s">
        <v>224</v>
      </c>
      <c r="B30" s="727"/>
      <c r="C30" s="950"/>
      <c r="D30" s="952"/>
      <c r="E30" s="950"/>
      <c r="F30" s="952"/>
      <c r="G30" s="950"/>
      <c r="H30" s="952"/>
      <c r="I30" s="950"/>
      <c r="J30" s="952"/>
      <c r="K30" s="950"/>
      <c r="L30" s="952"/>
      <c r="M30" s="950"/>
      <c r="N30" s="952"/>
      <c r="O30" s="950"/>
      <c r="P30" s="952"/>
      <c r="Q30" s="950"/>
      <c r="R30" s="952"/>
      <c r="S30" s="950"/>
      <c r="T30" s="952"/>
      <c r="U30" s="950"/>
      <c r="V30" s="952"/>
      <c r="W30" s="950"/>
      <c r="X30" s="952"/>
      <c r="Y30" s="950"/>
      <c r="Z30" s="952"/>
      <c r="AA30" s="950"/>
      <c r="AB30" s="952"/>
      <c r="AC30" s="97"/>
      <c r="AD30" s="374"/>
      <c r="AE30" s="97"/>
      <c r="AF30" s="374"/>
      <c r="AG30" s="97"/>
      <c r="AH30" s="374"/>
      <c r="AI30" s="97"/>
      <c r="AJ30" s="374"/>
      <c r="AK30" s="97"/>
      <c r="AL30" s="374"/>
      <c r="AM30" s="953"/>
      <c r="AN30" s="400"/>
      <c r="AO30" s="97"/>
      <c r="AP30" s="374"/>
      <c r="AQ30" s="97"/>
      <c r="AR30" s="374"/>
      <c r="AS30" s="950"/>
      <c r="AT30" s="952"/>
      <c r="AU30" s="97"/>
      <c r="AV30" s="952"/>
      <c r="AW30" s="97"/>
      <c r="AX30" s="952">
        <v>1059.1500000000001</v>
      </c>
      <c r="AY30" s="950">
        <v>929</v>
      </c>
      <c r="AZ30" s="952">
        <f t="shared" si="3"/>
        <v>1059.1500000000001</v>
      </c>
      <c r="BA30" s="105">
        <f t="shared" si="3"/>
        <v>929</v>
      </c>
    </row>
    <row r="31" spans="1:53" ht="13.5" x14ac:dyDescent="0.3">
      <c r="A31" s="957" t="s">
        <v>302</v>
      </c>
      <c r="B31" s="959"/>
      <c r="C31" s="950"/>
      <c r="D31" s="952"/>
      <c r="E31" s="950"/>
      <c r="F31" s="952"/>
      <c r="G31" s="950"/>
      <c r="H31" s="952"/>
      <c r="I31" s="950"/>
      <c r="J31" s="952"/>
      <c r="K31" s="950"/>
      <c r="L31" s="952"/>
      <c r="M31" s="950"/>
      <c r="N31" s="952"/>
      <c r="O31" s="950"/>
      <c r="P31" s="952"/>
      <c r="Q31" s="950"/>
      <c r="R31" s="952"/>
      <c r="S31" s="950"/>
      <c r="T31" s="952"/>
      <c r="U31" s="950"/>
      <c r="V31" s="952"/>
      <c r="W31" s="950"/>
      <c r="X31" s="952"/>
      <c r="Y31" s="950"/>
      <c r="Z31" s="952"/>
      <c r="AA31" s="950"/>
      <c r="AB31" s="952"/>
      <c r="AC31" s="97"/>
      <c r="AD31" s="374"/>
      <c r="AE31" s="97"/>
      <c r="AF31" s="374"/>
      <c r="AG31" s="97"/>
      <c r="AH31" s="374"/>
      <c r="AI31" s="97"/>
      <c r="AJ31" s="374"/>
      <c r="AK31" s="97"/>
      <c r="AL31" s="374"/>
      <c r="AM31" s="953"/>
      <c r="AN31" s="400"/>
      <c r="AO31" s="97"/>
      <c r="AP31" s="374"/>
      <c r="AQ31" s="97"/>
      <c r="AR31" s="374"/>
      <c r="AS31" s="950"/>
      <c r="AT31" s="952"/>
      <c r="AU31" s="97"/>
      <c r="AV31" s="952"/>
      <c r="AW31" s="97"/>
      <c r="AX31" s="952">
        <v>-1250819.6299999999</v>
      </c>
      <c r="AY31" s="950">
        <v>-1074219</v>
      </c>
      <c r="AZ31" s="952">
        <f t="shared" si="3"/>
        <v>-1250819.6299999999</v>
      </c>
      <c r="BA31" s="105">
        <f t="shared" si="3"/>
        <v>-1074219</v>
      </c>
    </row>
    <row r="32" spans="1:53" s="1017" customFormat="1" ht="14.25" x14ac:dyDescent="0.3">
      <c r="A32" s="414" t="s">
        <v>54</v>
      </c>
      <c r="B32" s="878">
        <f>B9</f>
        <v>21495</v>
      </c>
      <c r="C32" s="969">
        <f>C25</f>
        <v>29406</v>
      </c>
      <c r="D32" s="972">
        <f>D25</f>
        <v>7027</v>
      </c>
      <c r="E32" s="1013">
        <f>E25</f>
        <v>7521</v>
      </c>
      <c r="F32" s="1014"/>
      <c r="G32" s="969"/>
      <c r="H32" s="972">
        <v>46603.3</v>
      </c>
      <c r="I32" s="969">
        <f>I25</f>
        <v>51495</v>
      </c>
      <c r="J32" s="972">
        <f>J22</f>
        <v>2600.98</v>
      </c>
      <c r="K32" s="969">
        <f>K9</f>
        <v>3300</v>
      </c>
      <c r="L32" s="972">
        <f>L22</f>
        <v>333.54</v>
      </c>
      <c r="M32" s="969">
        <v>826</v>
      </c>
      <c r="N32" s="972">
        <f>N9</f>
        <v>6337.86</v>
      </c>
      <c r="O32" s="969">
        <f>O25</f>
        <v>9096</v>
      </c>
      <c r="P32" s="972">
        <v>1479.85</v>
      </c>
      <c r="Q32" s="969">
        <f>Q25</f>
        <v>2087</v>
      </c>
      <c r="R32" s="972">
        <v>53324.85</v>
      </c>
      <c r="S32" s="969">
        <f>S25</f>
        <v>62910</v>
      </c>
      <c r="T32" s="972">
        <v>2641.35</v>
      </c>
      <c r="U32" s="969">
        <f>U22</f>
        <v>4112</v>
      </c>
      <c r="V32" s="972">
        <v>42404.91</v>
      </c>
      <c r="W32" s="969">
        <f t="shared" ref="W32:AG32" si="4">W25</f>
        <v>64283</v>
      </c>
      <c r="X32" s="972">
        <v>66282.06</v>
      </c>
      <c r="Y32" s="969">
        <f t="shared" si="4"/>
        <v>94012</v>
      </c>
      <c r="Z32" s="972">
        <v>980.54</v>
      </c>
      <c r="AA32" s="969">
        <f t="shared" si="4"/>
        <v>1395</v>
      </c>
      <c r="AB32" s="972">
        <v>1434.82</v>
      </c>
      <c r="AC32" s="968">
        <f t="shared" si="4"/>
        <v>2322</v>
      </c>
      <c r="AD32" s="974">
        <f>AD13</f>
        <v>6428.98</v>
      </c>
      <c r="AE32" s="968">
        <f t="shared" si="4"/>
        <v>7397</v>
      </c>
      <c r="AF32" s="974">
        <f>AF25</f>
        <v>53222.46</v>
      </c>
      <c r="AG32" s="968">
        <f t="shared" si="4"/>
        <v>66607</v>
      </c>
      <c r="AH32" s="974">
        <f>AH13</f>
        <v>9209</v>
      </c>
      <c r="AI32" s="968">
        <f>AI9</f>
        <v>16288</v>
      </c>
      <c r="AJ32" s="974">
        <f>AJ9</f>
        <v>6354.62</v>
      </c>
      <c r="AK32" s="968">
        <f>AK25</f>
        <v>8213</v>
      </c>
      <c r="AL32" s="974"/>
      <c r="AM32" s="1015"/>
      <c r="AN32" s="1016">
        <v>35807.81</v>
      </c>
      <c r="AO32" s="968">
        <f>AO25</f>
        <v>36268</v>
      </c>
      <c r="AP32" s="974">
        <f>AP25</f>
        <v>6303.49</v>
      </c>
      <c r="AQ32" s="968">
        <f>AQ9</f>
        <v>8884</v>
      </c>
      <c r="AR32" s="974">
        <f>AR9</f>
        <v>1290.71</v>
      </c>
      <c r="AS32" s="969">
        <f>AS25</f>
        <v>1690</v>
      </c>
      <c r="AT32" s="972">
        <f>AT9</f>
        <v>46867.45</v>
      </c>
      <c r="AU32" s="968">
        <f>AU9</f>
        <v>50630</v>
      </c>
      <c r="AV32" s="972">
        <f>SUM(B32+D32+F32+H32+J32+L32+N32+P32+R32+T32+V32+X32+Z32+AB32+AD32+AF32+AH32+AJ32+AL32+AN32+AP32+AR32+AT32)</f>
        <v>418430.58000000007</v>
      </c>
      <c r="AW32" s="1192">
        <f>SUM(C32+E32+G32+I32+K32+M32+O32+Q32+S32+U32+W32+Y32+AA32+AC32+AE32+AG32+AI32+AK32+AM32+AO32+AQ32+AS32+AU32)</f>
        <v>528742</v>
      </c>
      <c r="AX32" s="972">
        <v>10778333.76</v>
      </c>
      <c r="AY32" s="969">
        <v>10987563</v>
      </c>
      <c r="AZ32" s="972">
        <f t="shared" si="3"/>
        <v>11196764.34</v>
      </c>
      <c r="BA32" s="125">
        <f t="shared" si="3"/>
        <v>11516305</v>
      </c>
    </row>
    <row r="33" spans="1:53" ht="14.25" x14ac:dyDescent="0.3">
      <c r="A33" s="414" t="s">
        <v>225</v>
      </c>
      <c r="B33" s="878"/>
      <c r="C33" s="950"/>
      <c r="D33" s="952"/>
      <c r="E33" s="950"/>
      <c r="F33" s="952"/>
      <c r="G33" s="950"/>
      <c r="H33" s="952"/>
      <c r="I33" s="950"/>
      <c r="J33" s="952"/>
      <c r="K33" s="950"/>
      <c r="L33" s="952"/>
      <c r="M33" s="950"/>
      <c r="N33" s="952"/>
      <c r="O33" s="950"/>
      <c r="P33" s="952"/>
      <c r="Q33" s="950"/>
      <c r="R33" s="952"/>
      <c r="S33" s="950"/>
      <c r="T33" s="952"/>
      <c r="U33" s="950"/>
      <c r="V33" s="952"/>
      <c r="W33" s="950"/>
      <c r="X33" s="952"/>
      <c r="Y33" s="950"/>
      <c r="Z33" s="952"/>
      <c r="AA33" s="950"/>
      <c r="AB33" s="952"/>
      <c r="AC33" s="97"/>
      <c r="AD33" s="374"/>
      <c r="AE33" s="97"/>
      <c r="AF33" s="374"/>
      <c r="AG33" s="97"/>
      <c r="AH33" s="374"/>
      <c r="AI33" s="97"/>
      <c r="AJ33" s="374"/>
      <c r="AK33" s="97"/>
      <c r="AL33" s="374"/>
      <c r="AM33" s="953"/>
      <c r="AN33" s="400"/>
      <c r="AO33" s="97"/>
      <c r="AP33" s="374"/>
      <c r="AQ33" s="97"/>
      <c r="AR33" s="374"/>
      <c r="AS33" s="950"/>
      <c r="AT33" s="952"/>
      <c r="AU33" s="97"/>
      <c r="AV33" s="952"/>
      <c r="AW33" s="97"/>
      <c r="AX33" s="952"/>
      <c r="AY33" s="950"/>
      <c r="AZ33" s="952"/>
      <c r="BA33" s="105"/>
    </row>
    <row r="34" spans="1:53" x14ac:dyDescent="0.25">
      <c r="A34" s="365" t="s">
        <v>226</v>
      </c>
      <c r="B34" s="727">
        <v>416.73</v>
      </c>
      <c r="C34" s="950">
        <v>251</v>
      </c>
      <c r="D34" s="952">
        <v>5</v>
      </c>
      <c r="E34" s="950"/>
      <c r="F34" s="952"/>
      <c r="G34" s="950"/>
      <c r="H34" s="952">
        <v>4835.33</v>
      </c>
      <c r="I34" s="950">
        <v>5645</v>
      </c>
      <c r="J34" s="952"/>
      <c r="K34" s="950"/>
      <c r="L34" s="952"/>
      <c r="M34" s="950"/>
      <c r="N34" s="952">
        <v>163.88</v>
      </c>
      <c r="O34" s="950">
        <v>241</v>
      </c>
      <c r="P34" s="952">
        <v>14.68</v>
      </c>
      <c r="Q34" s="950">
        <v>48</v>
      </c>
      <c r="R34" s="952">
        <v>3153.75</v>
      </c>
      <c r="S34" s="950">
        <v>3317</v>
      </c>
      <c r="T34" s="952">
        <v>68.7</v>
      </c>
      <c r="U34" s="950">
        <v>75</v>
      </c>
      <c r="V34" s="952">
        <v>14996.76</v>
      </c>
      <c r="W34" s="950">
        <v>19239</v>
      </c>
      <c r="X34" s="952">
        <v>1075.1500000000001</v>
      </c>
      <c r="Y34" s="950">
        <v>684</v>
      </c>
      <c r="Z34" s="952"/>
      <c r="AA34" s="950"/>
      <c r="AB34" s="952">
        <v>60.66</v>
      </c>
      <c r="AC34" s="97">
        <v>213</v>
      </c>
      <c r="AD34" s="374">
        <v>444.93</v>
      </c>
      <c r="AE34" s="97">
        <v>667</v>
      </c>
      <c r="AF34" s="374">
        <v>1422.52</v>
      </c>
      <c r="AG34" s="97">
        <v>1674</v>
      </c>
      <c r="AH34" s="374">
        <v>234</v>
      </c>
      <c r="AI34" s="97">
        <v>478</v>
      </c>
      <c r="AJ34" s="374">
        <v>527.82000000000005</v>
      </c>
      <c r="AK34" s="97">
        <v>395</v>
      </c>
      <c r="AL34" s="374"/>
      <c r="AM34" s="953"/>
      <c r="AN34" s="400">
        <v>1069.1099999999999</v>
      </c>
      <c r="AO34" s="97">
        <v>4633</v>
      </c>
      <c r="AP34" s="374">
        <v>198.62</v>
      </c>
      <c r="AQ34" s="97">
        <v>234</v>
      </c>
      <c r="AR34" s="374">
        <v>251.74</v>
      </c>
      <c r="AS34" s="950">
        <v>270</v>
      </c>
      <c r="AT34" s="952"/>
      <c r="AU34" s="97"/>
      <c r="AV34" s="952">
        <f>SUM(B34+D34+F34+H34+J34+L34+N34+P34+R34+T34+V34+X34+Z34+AB34+AD34+AF34+AH34+AJ34+AL34+AN34+AP34+AR34+AT34)</f>
        <v>28939.380000000005</v>
      </c>
      <c r="AW34" s="1191">
        <f>SUM(C34+E34+G34+I34+K34+M34+O34+Q34+S34+U34+W34+Y34+AA34+AC34+AE34+AG34+AI34+AK34+AM34+AO34+AQ34+AS34+AU34)</f>
        <v>38064</v>
      </c>
      <c r="AX34" s="952"/>
      <c r="AY34" s="950"/>
      <c r="AZ34" s="952">
        <f>AV34+AX34</f>
        <v>28939.380000000005</v>
      </c>
      <c r="BA34" s="105">
        <f>AW34+AY34</f>
        <v>38064</v>
      </c>
    </row>
    <row r="35" spans="1:53" x14ac:dyDescent="0.25">
      <c r="A35" s="365" t="s">
        <v>305</v>
      </c>
      <c r="B35" s="727"/>
      <c r="C35" s="950"/>
      <c r="D35" s="952"/>
      <c r="E35" s="950"/>
      <c r="F35" s="952"/>
      <c r="G35" s="950"/>
      <c r="H35" s="952"/>
      <c r="I35" s="950"/>
      <c r="J35" s="952"/>
      <c r="K35" s="950"/>
      <c r="L35" s="952"/>
      <c r="M35" s="950"/>
      <c r="N35" s="952"/>
      <c r="O35" s="950"/>
      <c r="P35" s="952"/>
      <c r="Q35" s="950"/>
      <c r="R35" s="952"/>
      <c r="S35" s="950"/>
      <c r="T35" s="952"/>
      <c r="U35" s="950"/>
      <c r="V35" s="952"/>
      <c r="W35" s="950"/>
      <c r="X35" s="952"/>
      <c r="Y35" s="950"/>
      <c r="Z35" s="952"/>
      <c r="AA35" s="950"/>
      <c r="AB35" s="952"/>
      <c r="AC35" s="97"/>
      <c r="AD35" s="374"/>
      <c r="AE35" s="97"/>
      <c r="AF35" s="374"/>
      <c r="AG35" s="97"/>
      <c r="AH35" s="374"/>
      <c r="AI35" s="97"/>
      <c r="AJ35" s="374"/>
      <c r="AK35" s="97"/>
      <c r="AL35" s="374"/>
      <c r="AM35" s="953"/>
      <c r="AN35" s="400"/>
      <c r="AO35" s="97"/>
      <c r="AP35" s="374"/>
      <c r="AQ35" s="97"/>
      <c r="AR35" s="374"/>
      <c r="AS35" s="950"/>
      <c r="AT35" s="952"/>
      <c r="AU35" s="97"/>
      <c r="AV35" s="952"/>
      <c r="AW35" s="97"/>
      <c r="AX35" s="952">
        <v>1017758.66</v>
      </c>
      <c r="AY35" s="950">
        <v>486163</v>
      </c>
      <c r="AZ35" s="952">
        <f>AV35+AX35</f>
        <v>1017758.66</v>
      </c>
      <c r="BA35" s="105">
        <f>AW35+AY35</f>
        <v>486163</v>
      </c>
    </row>
    <row r="36" spans="1:53" x14ac:dyDescent="0.25">
      <c r="A36" s="365" t="s">
        <v>304</v>
      </c>
      <c r="B36" s="727"/>
      <c r="C36" s="950"/>
      <c r="D36" s="952"/>
      <c r="E36" s="950"/>
      <c r="F36" s="952"/>
      <c r="G36" s="950"/>
      <c r="H36" s="952"/>
      <c r="I36" s="950"/>
      <c r="J36" s="952"/>
      <c r="K36" s="950"/>
      <c r="L36" s="952"/>
      <c r="M36" s="950"/>
      <c r="N36" s="952"/>
      <c r="O36" s="950"/>
      <c r="P36" s="952"/>
      <c r="Q36" s="950"/>
      <c r="R36" s="952"/>
      <c r="S36" s="950"/>
      <c r="T36" s="952"/>
      <c r="U36" s="950"/>
      <c r="V36" s="952"/>
      <c r="W36" s="950"/>
      <c r="X36" s="952"/>
      <c r="Y36" s="950"/>
      <c r="Z36" s="952"/>
      <c r="AA36" s="950"/>
      <c r="AB36" s="952"/>
      <c r="AC36" s="97"/>
      <c r="AD36" s="374"/>
      <c r="AE36" s="97"/>
      <c r="AF36" s="374"/>
      <c r="AG36" s="97"/>
      <c r="AH36" s="374"/>
      <c r="AI36" s="97"/>
      <c r="AJ36" s="374"/>
      <c r="AK36" s="97"/>
      <c r="AL36" s="374"/>
      <c r="AM36" s="953"/>
      <c r="AN36" s="400"/>
      <c r="AO36" s="97"/>
      <c r="AP36" s="374"/>
      <c r="AQ36" s="97"/>
      <c r="AR36" s="374"/>
      <c r="AS36" s="950"/>
      <c r="AT36" s="952"/>
      <c r="AU36" s="97"/>
      <c r="AV36" s="952"/>
      <c r="AW36" s="97"/>
      <c r="AX36" s="952">
        <v>54.78</v>
      </c>
      <c r="AY36" s="950"/>
      <c r="AZ36" s="952"/>
      <c r="BA36" s="105"/>
    </row>
    <row r="37" spans="1:53" x14ac:dyDescent="0.25">
      <c r="A37" s="602" t="s">
        <v>306</v>
      </c>
      <c r="B37" s="727"/>
      <c r="C37" s="950"/>
      <c r="D37" s="952"/>
      <c r="E37" s="950"/>
      <c r="F37" s="952"/>
      <c r="G37" s="950"/>
      <c r="H37" s="952"/>
      <c r="I37" s="950"/>
      <c r="J37" s="952"/>
      <c r="K37" s="950"/>
      <c r="L37" s="952"/>
      <c r="M37" s="950"/>
      <c r="N37" s="952"/>
      <c r="O37" s="950"/>
      <c r="P37" s="952"/>
      <c r="Q37" s="950"/>
      <c r="R37" s="952"/>
      <c r="S37" s="950"/>
      <c r="T37" s="952"/>
      <c r="U37" s="950"/>
      <c r="V37" s="952"/>
      <c r="W37" s="950"/>
      <c r="X37" s="952"/>
      <c r="Y37" s="950"/>
      <c r="Z37" s="952"/>
      <c r="AA37" s="950"/>
      <c r="AB37" s="952"/>
      <c r="AC37" s="97"/>
      <c r="AD37" s="374"/>
      <c r="AE37" s="97"/>
      <c r="AF37" s="374"/>
      <c r="AG37" s="97"/>
      <c r="AH37" s="374"/>
      <c r="AI37" s="97"/>
      <c r="AJ37" s="374"/>
      <c r="AK37" s="97"/>
      <c r="AL37" s="374"/>
      <c r="AM37" s="953"/>
      <c r="AN37" s="400"/>
      <c r="AO37" s="97"/>
      <c r="AP37" s="374"/>
      <c r="AQ37" s="97"/>
      <c r="AR37" s="374"/>
      <c r="AS37" s="950"/>
      <c r="AT37" s="952"/>
      <c r="AU37" s="97"/>
      <c r="AV37" s="952"/>
      <c r="AW37" s="97"/>
      <c r="AX37" s="952">
        <v>-441711.59</v>
      </c>
      <c r="AY37" s="950">
        <v>-450845</v>
      </c>
      <c r="AZ37" s="952">
        <f t="shared" ref="AZ37:BA39" si="5">AV37+AX37</f>
        <v>-441711.59</v>
      </c>
      <c r="BA37" s="105">
        <f t="shared" si="5"/>
        <v>-450845</v>
      </c>
    </row>
    <row r="38" spans="1:53" x14ac:dyDescent="0.25">
      <c r="A38" s="602" t="s">
        <v>227</v>
      </c>
      <c r="B38" s="727">
        <v>21077.88</v>
      </c>
      <c r="C38" s="950">
        <v>29155</v>
      </c>
      <c r="D38" s="952">
        <v>7022</v>
      </c>
      <c r="E38" s="961">
        <f>E32</f>
        <v>7521</v>
      </c>
      <c r="F38" s="117"/>
      <c r="G38" s="950"/>
      <c r="H38" s="952">
        <v>41767.97</v>
      </c>
      <c r="I38" s="950">
        <v>45850</v>
      </c>
      <c r="J38" s="952">
        <f>J32</f>
        <v>2600.98</v>
      </c>
      <c r="K38" s="950">
        <f>K9</f>
        <v>3300</v>
      </c>
      <c r="L38" s="952">
        <f>L32</f>
        <v>333.54</v>
      </c>
      <c r="M38" s="950">
        <v>826</v>
      </c>
      <c r="N38" s="952">
        <v>6173.98</v>
      </c>
      <c r="O38" s="950">
        <v>8855</v>
      </c>
      <c r="P38" s="952">
        <v>1465.16</v>
      </c>
      <c r="Q38" s="950">
        <v>2039</v>
      </c>
      <c r="R38" s="952">
        <v>50171.09</v>
      </c>
      <c r="S38" s="950">
        <v>59593</v>
      </c>
      <c r="T38" s="952">
        <v>2572.65</v>
      </c>
      <c r="U38" s="950">
        <v>4037</v>
      </c>
      <c r="V38" s="952">
        <v>27408.15</v>
      </c>
      <c r="W38" s="950">
        <v>45044</v>
      </c>
      <c r="X38" s="952">
        <v>65206.91</v>
      </c>
      <c r="Y38" s="950">
        <v>93328</v>
      </c>
      <c r="Z38" s="952">
        <v>980.54</v>
      </c>
      <c r="AA38" s="950">
        <v>1395</v>
      </c>
      <c r="AB38" s="952">
        <v>1374.15</v>
      </c>
      <c r="AC38" s="97">
        <v>2108</v>
      </c>
      <c r="AD38" s="374">
        <v>5984.05</v>
      </c>
      <c r="AE38" s="97">
        <v>6730</v>
      </c>
      <c r="AF38" s="374">
        <v>51799.94</v>
      </c>
      <c r="AG38" s="97">
        <v>64933</v>
      </c>
      <c r="AH38" s="374">
        <v>8975</v>
      </c>
      <c r="AI38" s="97">
        <v>15810</v>
      </c>
      <c r="AJ38" s="374">
        <v>5826.8</v>
      </c>
      <c r="AK38" s="97">
        <v>7817</v>
      </c>
      <c r="AL38" s="374"/>
      <c r="AM38" s="953"/>
      <c r="AN38" s="400">
        <v>34738.699999999997</v>
      </c>
      <c r="AO38" s="97">
        <v>31636</v>
      </c>
      <c r="AP38" s="374">
        <v>6104.88</v>
      </c>
      <c r="AQ38" s="97">
        <v>8649</v>
      </c>
      <c r="AR38" s="374">
        <v>1038.97</v>
      </c>
      <c r="AS38" s="950">
        <v>1420</v>
      </c>
      <c r="AT38" s="952">
        <f>AT13</f>
        <v>46867.45</v>
      </c>
      <c r="AU38" s="97">
        <f>AU9</f>
        <v>50630</v>
      </c>
      <c r="AV38" s="952">
        <f>SUM(B38+D38+F38+H38+J38+L38+N38+P38+R38+T38+V38+X38+Z38+AB38+AD38+AF38+AH38+AJ38+AL38+AN38+AP38+AR38+AT38)</f>
        <v>389490.79</v>
      </c>
      <c r="AW38" s="1191">
        <f>SUM(C38+E38+G38+I38+K38+M38+O38+Q38+S38+U38+W38+Y38+AA38+AC38+AE38+AG38+AI38+AK38+AM38+AO38+AQ38+AS38+AU38)</f>
        <v>490676</v>
      </c>
      <c r="AX38" s="952"/>
      <c r="AY38" s="950"/>
      <c r="AZ38" s="952">
        <f t="shared" si="5"/>
        <v>389490.79</v>
      </c>
      <c r="BA38" s="105">
        <f t="shared" si="5"/>
        <v>490676</v>
      </c>
    </row>
    <row r="39" spans="1:53" x14ac:dyDescent="0.25">
      <c r="A39" s="365" t="s">
        <v>305</v>
      </c>
      <c r="B39" s="727"/>
      <c r="C39" s="950"/>
      <c r="D39" s="952"/>
      <c r="E39" s="961"/>
      <c r="F39" s="117"/>
      <c r="G39" s="950"/>
      <c r="H39" s="952"/>
      <c r="I39" s="950"/>
      <c r="J39" s="952"/>
      <c r="K39" s="950"/>
      <c r="L39" s="952"/>
      <c r="M39" s="950"/>
      <c r="N39" s="952"/>
      <c r="O39" s="950"/>
      <c r="P39" s="952"/>
      <c r="Q39" s="950"/>
      <c r="R39" s="952"/>
      <c r="S39" s="950"/>
      <c r="T39" s="952"/>
      <c r="U39" s="950"/>
      <c r="V39" s="952"/>
      <c r="W39" s="950"/>
      <c r="X39" s="952"/>
      <c r="Y39" s="950"/>
      <c r="Z39" s="952"/>
      <c r="AA39" s="950"/>
      <c r="AB39" s="952"/>
      <c r="AC39" s="97"/>
      <c r="AD39" s="374"/>
      <c r="AE39" s="97"/>
      <c r="AF39" s="374"/>
      <c r="AG39" s="97"/>
      <c r="AH39" s="374"/>
      <c r="AI39" s="97"/>
      <c r="AJ39" s="374"/>
      <c r="AK39" s="97"/>
      <c r="AL39" s="374"/>
      <c r="AM39" s="953"/>
      <c r="AN39" s="400"/>
      <c r="AO39" s="97"/>
      <c r="AP39" s="374"/>
      <c r="AQ39" s="97"/>
      <c r="AR39" s="374"/>
      <c r="AS39" s="950"/>
      <c r="AT39" s="952"/>
      <c r="AU39" s="97"/>
      <c r="AV39" s="952"/>
      <c r="AW39" s="97"/>
      <c r="AX39" s="952">
        <v>11004112.6</v>
      </c>
      <c r="AY39" s="950">
        <v>11626220</v>
      </c>
      <c r="AZ39" s="952">
        <f t="shared" si="5"/>
        <v>11004112.6</v>
      </c>
      <c r="BA39" s="105">
        <f t="shared" si="5"/>
        <v>11626220</v>
      </c>
    </row>
    <row r="40" spans="1:53" x14ac:dyDescent="0.25">
      <c r="A40" s="365" t="s">
        <v>304</v>
      </c>
      <c r="B40" s="727"/>
      <c r="C40" s="950"/>
      <c r="D40" s="952"/>
      <c r="E40" s="961"/>
      <c r="F40" s="117"/>
      <c r="G40" s="950"/>
      <c r="H40" s="952"/>
      <c r="I40" s="950"/>
      <c r="J40" s="952"/>
      <c r="K40" s="950"/>
      <c r="L40" s="952"/>
      <c r="M40" s="950"/>
      <c r="N40" s="952"/>
      <c r="O40" s="950"/>
      <c r="P40" s="952"/>
      <c r="Q40" s="950"/>
      <c r="R40" s="952"/>
      <c r="S40" s="950"/>
      <c r="T40" s="952"/>
      <c r="U40" s="950"/>
      <c r="V40" s="952"/>
      <c r="W40" s="950"/>
      <c r="X40" s="952"/>
      <c r="Y40" s="950"/>
      <c r="Z40" s="952"/>
      <c r="AA40" s="950"/>
      <c r="AB40" s="952"/>
      <c r="AC40" s="97"/>
      <c r="AD40" s="374"/>
      <c r="AE40" s="97"/>
      <c r="AF40" s="374"/>
      <c r="AG40" s="97"/>
      <c r="AH40" s="374"/>
      <c r="AI40" s="97"/>
      <c r="AJ40" s="374"/>
      <c r="AK40" s="97"/>
      <c r="AL40" s="374"/>
      <c r="AM40" s="953"/>
      <c r="AN40" s="400"/>
      <c r="AO40" s="97"/>
      <c r="AP40" s="374"/>
      <c r="AQ40" s="97"/>
      <c r="AR40" s="374"/>
      <c r="AS40" s="950"/>
      <c r="AT40" s="952"/>
      <c r="AU40" s="97"/>
      <c r="AV40" s="952"/>
      <c r="AW40" s="97"/>
      <c r="AX40" s="952">
        <v>16912.18</v>
      </c>
      <c r="AY40" s="950"/>
      <c r="AZ40" s="952"/>
      <c r="BA40" s="105"/>
    </row>
    <row r="41" spans="1:53" ht="13.5" thickBot="1" x14ac:dyDescent="0.3">
      <c r="A41" s="602" t="s">
        <v>307</v>
      </c>
      <c r="B41" s="962"/>
      <c r="C41" s="951"/>
      <c r="D41" s="963"/>
      <c r="E41" s="964"/>
      <c r="F41" s="965"/>
      <c r="G41" s="951"/>
      <c r="H41" s="963"/>
      <c r="I41" s="951"/>
      <c r="J41" s="963"/>
      <c r="K41" s="951"/>
      <c r="L41" s="963"/>
      <c r="M41" s="951"/>
      <c r="N41" s="963"/>
      <c r="O41" s="951"/>
      <c r="P41" s="963"/>
      <c r="Q41" s="951"/>
      <c r="R41" s="963"/>
      <c r="S41" s="951"/>
      <c r="T41" s="963"/>
      <c r="U41" s="951"/>
      <c r="V41" s="963"/>
      <c r="W41" s="951"/>
      <c r="X41" s="963"/>
      <c r="Y41" s="951"/>
      <c r="Z41" s="963"/>
      <c r="AA41" s="951"/>
      <c r="AB41" s="963"/>
      <c r="AC41" s="534"/>
      <c r="AD41" s="535"/>
      <c r="AE41" s="534"/>
      <c r="AF41" s="535"/>
      <c r="AG41" s="534"/>
      <c r="AH41" s="535"/>
      <c r="AI41" s="534"/>
      <c r="AJ41" s="535"/>
      <c r="AK41" s="534"/>
      <c r="AL41" s="535"/>
      <c r="AM41" s="966"/>
      <c r="AN41" s="445"/>
      <c r="AO41" s="534"/>
      <c r="AP41" s="535"/>
      <c r="AQ41" s="534"/>
      <c r="AR41" s="535"/>
      <c r="AS41" s="951"/>
      <c r="AT41" s="963"/>
      <c r="AU41" s="534"/>
      <c r="AV41" s="963"/>
      <c r="AW41" s="534"/>
      <c r="AX41" s="963">
        <v>-818792.87</v>
      </c>
      <c r="AY41" s="951">
        <v>-673974</v>
      </c>
      <c r="AZ41" s="963">
        <f>AV41+AX41</f>
        <v>-818792.87</v>
      </c>
      <c r="BA41" s="138">
        <f>AW41+AY41</f>
        <v>-673974</v>
      </c>
    </row>
    <row r="42" spans="1:53" s="1031" customFormat="1" ht="15" thickBot="1" x14ac:dyDescent="0.35">
      <c r="A42" s="1126" t="s">
        <v>54</v>
      </c>
      <c r="B42" s="1183">
        <v>21494.61</v>
      </c>
      <c r="C42" s="1184">
        <f t="shared" ref="C42:AU42" si="6">C34+C38</f>
        <v>29406</v>
      </c>
      <c r="D42" s="1183">
        <v>7027</v>
      </c>
      <c r="E42" s="1184">
        <f t="shared" si="6"/>
        <v>7521</v>
      </c>
      <c r="F42" s="1183"/>
      <c r="G42" s="1184">
        <f t="shared" si="6"/>
        <v>0</v>
      </c>
      <c r="H42" s="1183">
        <f>H32</f>
        <v>46603.3</v>
      </c>
      <c r="I42" s="1184">
        <f t="shared" si="6"/>
        <v>51495</v>
      </c>
      <c r="J42" s="1183">
        <f>J32</f>
        <v>2600.98</v>
      </c>
      <c r="K42" s="1184">
        <f t="shared" si="6"/>
        <v>3300</v>
      </c>
      <c r="L42" s="1183">
        <f>L32</f>
        <v>333.54</v>
      </c>
      <c r="M42" s="1184">
        <f t="shared" si="6"/>
        <v>826</v>
      </c>
      <c r="N42" s="1183">
        <f>N19</f>
        <v>6337.86</v>
      </c>
      <c r="O42" s="1184">
        <f t="shared" si="6"/>
        <v>9096</v>
      </c>
      <c r="P42" s="1183">
        <v>1479.85</v>
      </c>
      <c r="Q42" s="1184">
        <f t="shared" si="6"/>
        <v>2087</v>
      </c>
      <c r="R42" s="1183">
        <v>53324.85</v>
      </c>
      <c r="S42" s="1184">
        <f t="shared" si="6"/>
        <v>62910</v>
      </c>
      <c r="T42" s="1183">
        <v>2641.35</v>
      </c>
      <c r="U42" s="1184">
        <f t="shared" si="6"/>
        <v>4112</v>
      </c>
      <c r="V42" s="1183">
        <v>42404.91</v>
      </c>
      <c r="W42" s="1184">
        <f t="shared" si="6"/>
        <v>64283</v>
      </c>
      <c r="X42" s="1183">
        <v>6628206</v>
      </c>
      <c r="Y42" s="1184">
        <f t="shared" si="6"/>
        <v>94012</v>
      </c>
      <c r="Z42" s="1183">
        <v>980.54</v>
      </c>
      <c r="AA42" s="1184">
        <f t="shared" si="6"/>
        <v>1395</v>
      </c>
      <c r="AB42" s="1183">
        <v>1434.82</v>
      </c>
      <c r="AC42" s="1185">
        <f t="shared" si="6"/>
        <v>2321</v>
      </c>
      <c r="AD42" s="1186">
        <f>AD32</f>
        <v>6428.98</v>
      </c>
      <c r="AE42" s="1185">
        <f t="shared" si="6"/>
        <v>7397</v>
      </c>
      <c r="AF42" s="1186">
        <f>AF32</f>
        <v>53222.46</v>
      </c>
      <c r="AG42" s="1185">
        <f t="shared" si="6"/>
        <v>66607</v>
      </c>
      <c r="AH42" s="1186">
        <f>AH22</f>
        <v>9209</v>
      </c>
      <c r="AI42" s="1185">
        <f t="shared" si="6"/>
        <v>16288</v>
      </c>
      <c r="AJ42" s="1186">
        <v>6354.62</v>
      </c>
      <c r="AK42" s="1185">
        <f t="shared" si="6"/>
        <v>8212</v>
      </c>
      <c r="AL42" s="1186"/>
      <c r="AM42" s="1187">
        <f t="shared" si="6"/>
        <v>0</v>
      </c>
      <c r="AN42" s="1188">
        <v>35807.81</v>
      </c>
      <c r="AO42" s="1185">
        <f t="shared" si="6"/>
        <v>36269</v>
      </c>
      <c r="AP42" s="1186">
        <f>AP32</f>
        <v>6303.49</v>
      </c>
      <c r="AQ42" s="1185">
        <f t="shared" si="6"/>
        <v>8883</v>
      </c>
      <c r="AR42" s="1186">
        <v>1290.71</v>
      </c>
      <c r="AS42" s="1184">
        <f t="shared" si="6"/>
        <v>1690</v>
      </c>
      <c r="AT42" s="1183">
        <f>AT19</f>
        <v>46867.45</v>
      </c>
      <c r="AU42" s="1185">
        <f t="shared" si="6"/>
        <v>50630</v>
      </c>
      <c r="AV42" s="1193">
        <f>SUM(B42+D42+F42+H42+J42+L42+N42+P42+R42+T42+V42+X42+Z42+AB42+AD42+AF42+AH42+AJ42+AL42+AN42+AP42+AR42+AT42)</f>
        <v>6980354.1300000008</v>
      </c>
      <c r="AW42" s="1194">
        <f>SUM(C42+E42+G42+I42+K42+M42+O42+Q42+S42+U42+W42+Y42+AA42+AC42+AE42+AG42+AI42+AK42+AM42+AO42+AQ42+AS42+AU42)</f>
        <v>528740</v>
      </c>
      <c r="AX42" s="1183">
        <v>10778333.76</v>
      </c>
      <c r="AY42" s="1184">
        <v>10987563</v>
      </c>
      <c r="AZ42" s="1183">
        <f>AV42+AX42</f>
        <v>17758687.890000001</v>
      </c>
      <c r="BA42" s="1134">
        <f>AW42+AY42</f>
        <v>11516303</v>
      </c>
    </row>
  </sheetData>
  <mergeCells count="26">
    <mergeCell ref="AZ1:BA1"/>
    <mergeCell ref="AX1:AY1"/>
    <mergeCell ref="AV1:AW1"/>
    <mergeCell ref="AT1:AU1"/>
    <mergeCell ref="AR1:AS1"/>
    <mergeCell ref="AP1:AQ1"/>
    <mergeCell ref="AN1:AO1"/>
    <mergeCell ref="AL1:AM1"/>
    <mergeCell ref="AJ1:AK1"/>
    <mergeCell ref="AH1:AI1"/>
    <mergeCell ref="AF1:AG1"/>
    <mergeCell ref="AD1:AE1"/>
    <mergeCell ref="AB1:AC1"/>
    <mergeCell ref="Z1:AA1"/>
    <mergeCell ref="X1:Y1"/>
    <mergeCell ref="V1:W1"/>
    <mergeCell ref="T1:U1"/>
    <mergeCell ref="R1:S1"/>
    <mergeCell ref="H1:I1"/>
    <mergeCell ref="F1:G1"/>
    <mergeCell ref="D1:E1"/>
    <mergeCell ref="B1:C1"/>
    <mergeCell ref="J1:K1"/>
    <mergeCell ref="P1:Q1"/>
    <mergeCell ref="L1:M1"/>
    <mergeCell ref="N1:O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</sheetPr>
  <dimension ref="A1:BA29"/>
  <sheetViews>
    <sheetView topLeftCell="A13" workbookViewId="0">
      <pane xSplit="1" topLeftCell="AQ1" activePane="topRight" state="frozen"/>
      <selection pane="topRight" activeCell="A3" sqref="A1:IV65536"/>
    </sheetView>
  </sheetViews>
  <sheetFormatPr defaultRowHeight="12.75" x14ac:dyDescent="0.25"/>
  <cols>
    <col min="1" max="1" width="68" style="98" bestFit="1" customWidth="1"/>
    <col min="2" max="9" width="10.5703125" style="98" bestFit="1" customWidth="1"/>
    <col min="10" max="10" width="10.5703125" style="98" customWidth="1"/>
    <col min="11" max="24" width="10.5703125" style="98" bestFit="1" customWidth="1"/>
    <col min="25" max="25" width="10.5703125" style="98" customWidth="1"/>
    <col min="26" max="41" width="10.5703125" style="98" bestFit="1" customWidth="1"/>
    <col min="42" max="42" width="10.5703125" style="98" customWidth="1"/>
    <col min="43" max="44" width="10.5703125" style="98" bestFit="1" customWidth="1"/>
    <col min="45" max="45" width="10.5703125" style="98" customWidth="1"/>
    <col min="46" max="49" width="10.5703125" style="98" bestFit="1" customWidth="1"/>
    <col min="50" max="50" width="11.42578125" style="98" bestFit="1" customWidth="1"/>
    <col min="51" max="51" width="10.5703125" style="98" bestFit="1" customWidth="1"/>
    <col min="52" max="52" width="12" style="98" bestFit="1" customWidth="1"/>
    <col min="53" max="53" width="10.5703125" style="98" bestFit="1" customWidth="1"/>
    <col min="54" max="16384" width="9.140625" style="98"/>
  </cols>
  <sheetData>
    <row r="1" spans="1:53" ht="62.25" customHeight="1" thickBot="1" x14ac:dyDescent="0.35">
      <c r="A1" s="988" t="s">
        <v>439</v>
      </c>
      <c r="B1" s="1345" t="s">
        <v>158</v>
      </c>
      <c r="C1" s="1348"/>
      <c r="D1" s="1376" t="s">
        <v>159</v>
      </c>
      <c r="E1" s="1377"/>
      <c r="F1" s="1376" t="s">
        <v>160</v>
      </c>
      <c r="G1" s="1377"/>
      <c r="H1" s="1376" t="s">
        <v>161</v>
      </c>
      <c r="I1" s="1377"/>
      <c r="J1" s="1376" t="s">
        <v>162</v>
      </c>
      <c r="K1" s="1377"/>
      <c r="L1" s="1376" t="s">
        <v>163</v>
      </c>
      <c r="M1" s="1377"/>
      <c r="N1" s="1376" t="s">
        <v>312</v>
      </c>
      <c r="O1" s="1377"/>
      <c r="P1" s="1376" t="s">
        <v>164</v>
      </c>
      <c r="Q1" s="1377"/>
      <c r="R1" s="1376" t="s">
        <v>165</v>
      </c>
      <c r="S1" s="1377"/>
      <c r="T1" s="1376" t="s">
        <v>166</v>
      </c>
      <c r="U1" s="1377"/>
      <c r="V1" s="1376" t="s">
        <v>167</v>
      </c>
      <c r="W1" s="1377"/>
      <c r="X1" s="1376" t="s">
        <v>168</v>
      </c>
      <c r="Y1" s="1377"/>
      <c r="Z1" s="1376" t="s">
        <v>383</v>
      </c>
      <c r="AA1" s="1377"/>
      <c r="AB1" s="1376" t="s">
        <v>169</v>
      </c>
      <c r="AC1" s="1377"/>
      <c r="AD1" s="1378" t="s">
        <v>170</v>
      </c>
      <c r="AE1" s="1379"/>
      <c r="AF1" s="1376" t="s">
        <v>171</v>
      </c>
      <c r="AG1" s="1377"/>
      <c r="AH1" s="1376" t="s">
        <v>172</v>
      </c>
      <c r="AI1" s="1377"/>
      <c r="AJ1" s="1376" t="s">
        <v>173</v>
      </c>
      <c r="AK1" s="1377"/>
      <c r="AL1" s="1378" t="s">
        <v>174</v>
      </c>
      <c r="AM1" s="1379"/>
      <c r="AN1" s="1376" t="s">
        <v>175</v>
      </c>
      <c r="AO1" s="1377"/>
      <c r="AP1" s="1376" t="s">
        <v>176</v>
      </c>
      <c r="AQ1" s="1377"/>
      <c r="AR1" s="1376" t="s">
        <v>177</v>
      </c>
      <c r="AS1" s="1377"/>
      <c r="AT1" s="1376" t="s">
        <v>178</v>
      </c>
      <c r="AU1" s="1377"/>
      <c r="AV1" s="1382" t="s">
        <v>1</v>
      </c>
      <c r="AW1" s="1383"/>
      <c r="AX1" s="1378" t="s">
        <v>179</v>
      </c>
      <c r="AY1" s="1379"/>
      <c r="AZ1" s="1380" t="s">
        <v>2</v>
      </c>
      <c r="BA1" s="1381"/>
    </row>
    <row r="2" spans="1:53" s="1036" customFormat="1" ht="30.75" customHeight="1" thickBot="1" x14ac:dyDescent="0.3">
      <c r="A2" s="1034" t="s">
        <v>0</v>
      </c>
      <c r="B2" s="1023" t="s">
        <v>382</v>
      </c>
      <c r="C2" s="1022" t="s">
        <v>433</v>
      </c>
      <c r="D2" s="1035" t="s">
        <v>382</v>
      </c>
      <c r="E2" s="1022" t="s">
        <v>433</v>
      </c>
      <c r="F2" s="1035" t="s">
        <v>382</v>
      </c>
      <c r="G2" s="1022" t="s">
        <v>433</v>
      </c>
      <c r="H2" s="1023" t="s">
        <v>382</v>
      </c>
      <c r="I2" s="1022" t="s">
        <v>433</v>
      </c>
      <c r="J2" s="1035" t="s">
        <v>382</v>
      </c>
      <c r="K2" s="1022" t="s">
        <v>433</v>
      </c>
      <c r="L2" s="1035" t="s">
        <v>382</v>
      </c>
      <c r="M2" s="1022" t="s">
        <v>433</v>
      </c>
      <c r="N2" s="1023" t="s">
        <v>382</v>
      </c>
      <c r="O2" s="1022" t="s">
        <v>433</v>
      </c>
      <c r="P2" s="1023" t="s">
        <v>382</v>
      </c>
      <c r="Q2" s="1022" t="s">
        <v>433</v>
      </c>
      <c r="R2" s="1035" t="s">
        <v>382</v>
      </c>
      <c r="S2" s="1022" t="s">
        <v>433</v>
      </c>
      <c r="T2" s="1035" t="s">
        <v>382</v>
      </c>
      <c r="U2" s="1022" t="s">
        <v>433</v>
      </c>
      <c r="V2" s="1023" t="s">
        <v>382</v>
      </c>
      <c r="W2" s="1022" t="s">
        <v>433</v>
      </c>
      <c r="X2" s="1035" t="s">
        <v>382</v>
      </c>
      <c r="Y2" s="1022" t="s">
        <v>433</v>
      </c>
      <c r="Z2" s="1035" t="s">
        <v>382</v>
      </c>
      <c r="AA2" s="1022" t="s">
        <v>433</v>
      </c>
      <c r="AB2" s="1023" t="s">
        <v>382</v>
      </c>
      <c r="AC2" s="1022" t="s">
        <v>433</v>
      </c>
      <c r="AD2" s="1023" t="s">
        <v>382</v>
      </c>
      <c r="AE2" s="1022" t="s">
        <v>433</v>
      </c>
      <c r="AF2" s="1035" t="s">
        <v>382</v>
      </c>
      <c r="AG2" s="1022" t="s">
        <v>433</v>
      </c>
      <c r="AH2" s="1035" t="s">
        <v>382</v>
      </c>
      <c r="AI2" s="1022" t="s">
        <v>433</v>
      </c>
      <c r="AJ2" s="1023" t="s">
        <v>382</v>
      </c>
      <c r="AK2" s="1022" t="s">
        <v>433</v>
      </c>
      <c r="AL2" s="1023" t="s">
        <v>382</v>
      </c>
      <c r="AM2" s="1022" t="s">
        <v>433</v>
      </c>
      <c r="AN2" s="1035" t="s">
        <v>382</v>
      </c>
      <c r="AO2" s="1022" t="s">
        <v>433</v>
      </c>
      <c r="AP2" s="1035" t="s">
        <v>382</v>
      </c>
      <c r="AQ2" s="1022" t="s">
        <v>433</v>
      </c>
      <c r="AR2" s="1023" t="s">
        <v>382</v>
      </c>
      <c r="AS2" s="1022" t="s">
        <v>433</v>
      </c>
      <c r="AT2" s="1035" t="s">
        <v>382</v>
      </c>
      <c r="AU2" s="1022" t="s">
        <v>433</v>
      </c>
      <c r="AV2" s="1035" t="s">
        <v>382</v>
      </c>
      <c r="AW2" s="1022" t="s">
        <v>433</v>
      </c>
      <c r="AX2" s="1023" t="s">
        <v>382</v>
      </c>
      <c r="AY2" s="1022" t="s">
        <v>433</v>
      </c>
      <c r="AZ2" s="1023" t="s">
        <v>382</v>
      </c>
      <c r="BA2" s="1022" t="s">
        <v>433</v>
      </c>
    </row>
    <row r="3" spans="1:53" ht="14.25" x14ac:dyDescent="0.3">
      <c r="A3" s="415" t="s">
        <v>184</v>
      </c>
      <c r="B3" s="967">
        <v>6164.37</v>
      </c>
      <c r="C3" s="989">
        <v>7698</v>
      </c>
      <c r="D3" s="990">
        <v>318</v>
      </c>
      <c r="E3" s="372">
        <v>51</v>
      </c>
      <c r="F3" s="533">
        <v>1220.97</v>
      </c>
      <c r="G3" s="372">
        <v>1137</v>
      </c>
      <c r="H3" s="533">
        <v>7872.63</v>
      </c>
      <c r="I3" s="372">
        <v>7403</v>
      </c>
      <c r="J3" s="533">
        <v>2589.0300000000002</v>
      </c>
      <c r="K3" s="372">
        <v>2878</v>
      </c>
      <c r="L3" s="533">
        <v>229</v>
      </c>
      <c r="M3" s="372">
        <v>3013</v>
      </c>
      <c r="N3" s="533">
        <v>840</v>
      </c>
      <c r="O3" s="372">
        <v>755</v>
      </c>
      <c r="P3" s="533">
        <v>2768.98</v>
      </c>
      <c r="Q3" s="372">
        <v>3384</v>
      </c>
      <c r="R3" s="533">
        <v>5078.95</v>
      </c>
      <c r="S3" s="372">
        <v>4366</v>
      </c>
      <c r="T3" s="533">
        <v>3941.51</v>
      </c>
      <c r="U3" s="372">
        <v>3932</v>
      </c>
      <c r="V3" s="533">
        <v>9856.76</v>
      </c>
      <c r="W3" s="372">
        <v>10845</v>
      </c>
      <c r="X3" s="533">
        <v>11027.38</v>
      </c>
      <c r="Y3" s="372">
        <v>12195</v>
      </c>
      <c r="Z3" s="533">
        <v>118.2</v>
      </c>
      <c r="AA3" s="372">
        <v>187</v>
      </c>
      <c r="AB3" s="533">
        <v>264.39999999999998</v>
      </c>
      <c r="AC3" s="372">
        <v>342.34</v>
      </c>
      <c r="AD3" s="533">
        <v>10536.54</v>
      </c>
      <c r="AE3" s="372">
        <v>12195</v>
      </c>
      <c r="AF3" s="533">
        <v>6754.49</v>
      </c>
      <c r="AG3" s="372">
        <v>7260</v>
      </c>
      <c r="AH3" s="533">
        <v>7795</v>
      </c>
      <c r="AI3" s="372">
        <v>4602</v>
      </c>
      <c r="AJ3" s="533">
        <v>5999.61</v>
      </c>
      <c r="AK3" s="372">
        <v>4748</v>
      </c>
      <c r="AL3" s="533"/>
      <c r="AM3" s="372"/>
      <c r="AN3" s="533">
        <v>7498.6</v>
      </c>
      <c r="AO3" s="372">
        <v>9945</v>
      </c>
      <c r="AP3" s="533">
        <v>3196.19</v>
      </c>
      <c r="AQ3" s="372">
        <v>3463</v>
      </c>
      <c r="AR3" s="533">
        <v>1411.26</v>
      </c>
      <c r="AS3" s="372">
        <v>1073</v>
      </c>
      <c r="AT3" s="533">
        <v>9990.69</v>
      </c>
      <c r="AU3" s="372">
        <v>14014</v>
      </c>
      <c r="AV3" s="992">
        <f>SUM(B3+D3+F3+H3+J3+L3+N3+P3+R3+T3+V3+X3+Z3+AB3+AD3+AF3+AH3+AJ3+AL3+AN3+AP3+AR3+AT3)</f>
        <v>105472.56000000001</v>
      </c>
      <c r="AW3" s="991">
        <f>SUM(C3+E3+G3+I3+K3+M3+O3+Q3+S3+U3+W3+Y3+AA3+AC3+AE3+AG3+AI3+AK3+AM3+AO3+AQ3+AS3+AU3)</f>
        <v>115486.34</v>
      </c>
      <c r="AX3" s="992">
        <v>33377656</v>
      </c>
      <c r="AY3" s="949">
        <v>393601</v>
      </c>
      <c r="AZ3" s="954">
        <f>AV3+AX3</f>
        <v>33483128.559999999</v>
      </c>
      <c r="BA3" s="991">
        <f>AW3+AY3</f>
        <v>509087.33999999997</v>
      </c>
    </row>
    <row r="4" spans="1:53" ht="14.25" x14ac:dyDescent="0.3">
      <c r="A4" s="414" t="s">
        <v>185</v>
      </c>
      <c r="B4" s="878"/>
      <c r="C4" s="97"/>
      <c r="D4" s="374"/>
      <c r="E4" s="97"/>
      <c r="F4" s="374"/>
      <c r="G4" s="97"/>
      <c r="H4" s="374"/>
      <c r="I4" s="97"/>
      <c r="J4" s="374"/>
      <c r="K4" s="97"/>
      <c r="L4" s="374"/>
      <c r="M4" s="97"/>
      <c r="N4" s="374"/>
      <c r="O4" s="97"/>
      <c r="P4" s="374"/>
      <c r="Q4" s="97"/>
      <c r="R4" s="374"/>
      <c r="S4" s="97"/>
      <c r="T4" s="374"/>
      <c r="U4" s="97"/>
      <c r="V4" s="374"/>
      <c r="W4" s="97"/>
      <c r="X4" s="374"/>
      <c r="Y4" s="97"/>
      <c r="Z4" s="374"/>
      <c r="AA4" s="97"/>
      <c r="AB4" s="374"/>
      <c r="AC4" s="97"/>
      <c r="AD4" s="374"/>
      <c r="AE4" s="97"/>
      <c r="AF4" s="374"/>
      <c r="AG4" s="97"/>
      <c r="AH4" s="374"/>
      <c r="AI4" s="97"/>
      <c r="AJ4" s="374"/>
      <c r="AK4" s="97"/>
      <c r="AL4" s="374"/>
      <c r="AM4" s="97"/>
      <c r="AN4" s="374"/>
      <c r="AO4" s="97"/>
      <c r="AP4" s="374"/>
      <c r="AQ4" s="97"/>
      <c r="AR4" s="374"/>
      <c r="AS4" s="97"/>
      <c r="AT4" s="374"/>
      <c r="AU4" s="97"/>
      <c r="AV4" s="992">
        <f t="shared" ref="AV4:AV29" si="0">SUM(B4+D4+F4+H4+J4+L4+N4+P4+R4+T4+V4+X4+Z4+AB4+AD4+AF4+AH4+AJ4+AL4+AN4+AP4+AR4+AT4)</f>
        <v>0</v>
      </c>
      <c r="AW4" s="991">
        <f t="shared" ref="AW4:AW29" si="1">SUM(C4+E4+G4+I4+K4+M4+O4+Q4+S4+U4+W4+Y4+AA4+AC4+AE4+AG4+AI4+AK4+AM4+AO4+AQ4+AS4+AU4)</f>
        <v>0</v>
      </c>
      <c r="AX4" s="971"/>
      <c r="AY4" s="950"/>
      <c r="AZ4" s="952">
        <f t="shared" ref="AZ4:AZ29" si="2">AV4+AX4</f>
        <v>0</v>
      </c>
      <c r="BA4" s="970">
        <f t="shared" ref="BA4:BA29" si="3">AW4+AY4</f>
        <v>0</v>
      </c>
    </row>
    <row r="5" spans="1:53" ht="14.25" x14ac:dyDescent="0.3">
      <c r="A5" s="414" t="s">
        <v>186</v>
      </c>
      <c r="B5" s="878"/>
      <c r="C5" s="97"/>
      <c r="D5" s="374"/>
      <c r="E5" s="97"/>
      <c r="F5" s="374"/>
      <c r="G5" s="97"/>
      <c r="H5" s="374"/>
      <c r="I5" s="97"/>
      <c r="J5" s="374"/>
      <c r="K5" s="97"/>
      <c r="L5" s="374"/>
      <c r="M5" s="97"/>
      <c r="N5" s="374"/>
      <c r="O5" s="97"/>
      <c r="P5" s="374"/>
      <c r="Q5" s="97"/>
      <c r="R5" s="374"/>
      <c r="S5" s="97"/>
      <c r="T5" s="374"/>
      <c r="U5" s="97"/>
      <c r="V5" s="374"/>
      <c r="W5" s="97"/>
      <c r="X5" s="374"/>
      <c r="Y5" s="97"/>
      <c r="Z5" s="374"/>
      <c r="AA5" s="97"/>
      <c r="AB5" s="374"/>
      <c r="AC5" s="97"/>
      <c r="AD5" s="374"/>
      <c r="AE5" s="97"/>
      <c r="AF5" s="374"/>
      <c r="AG5" s="97"/>
      <c r="AH5" s="374"/>
      <c r="AI5" s="97"/>
      <c r="AJ5" s="374"/>
      <c r="AK5" s="97"/>
      <c r="AL5" s="374"/>
      <c r="AM5" s="97"/>
      <c r="AN5" s="374"/>
      <c r="AO5" s="97"/>
      <c r="AP5" s="374"/>
      <c r="AQ5" s="97"/>
      <c r="AR5" s="374"/>
      <c r="AS5" s="97"/>
      <c r="AT5" s="374"/>
      <c r="AU5" s="97"/>
      <c r="AV5" s="992">
        <f t="shared" si="0"/>
        <v>0</v>
      </c>
      <c r="AW5" s="991">
        <f t="shared" si="1"/>
        <v>0</v>
      </c>
      <c r="AX5" s="971"/>
      <c r="AY5" s="950"/>
      <c r="AZ5" s="952">
        <f t="shared" si="2"/>
        <v>0</v>
      </c>
      <c r="BA5" s="970">
        <f t="shared" si="3"/>
        <v>0</v>
      </c>
    </row>
    <row r="6" spans="1:53" ht="14.25" x14ac:dyDescent="0.3">
      <c r="A6" s="414" t="s">
        <v>187</v>
      </c>
      <c r="B6" s="878">
        <v>18504.419999999998</v>
      </c>
      <c r="C6" s="77">
        <v>39684</v>
      </c>
      <c r="D6" s="76"/>
      <c r="E6" s="97"/>
      <c r="F6" s="374">
        <v>3146</v>
      </c>
      <c r="G6" s="97">
        <v>3342</v>
      </c>
      <c r="H6" s="374"/>
      <c r="I6" s="97"/>
      <c r="J6" s="374">
        <v>849</v>
      </c>
      <c r="K6" s="97">
        <v>1475</v>
      </c>
      <c r="L6" s="374"/>
      <c r="M6" s="97"/>
      <c r="N6" s="374"/>
      <c r="O6" s="97"/>
      <c r="P6" s="374">
        <v>6.76</v>
      </c>
      <c r="Q6" s="97">
        <v>7</v>
      </c>
      <c r="R6" s="374">
        <v>7310</v>
      </c>
      <c r="S6" s="97">
        <v>9610</v>
      </c>
      <c r="T6" s="374"/>
      <c r="U6" s="97"/>
      <c r="V6" s="374"/>
      <c r="W6" s="97"/>
      <c r="X6" s="374"/>
      <c r="Y6" s="97"/>
      <c r="Z6" s="374"/>
      <c r="AA6" s="97"/>
      <c r="AB6" s="374"/>
      <c r="AC6" s="97"/>
      <c r="AD6" s="374"/>
      <c r="AE6" s="97"/>
      <c r="AF6" s="374"/>
      <c r="AG6" s="97"/>
      <c r="AH6" s="374">
        <v>5403</v>
      </c>
      <c r="AI6" s="97">
        <v>2991</v>
      </c>
      <c r="AJ6" s="374">
        <v>10.92</v>
      </c>
      <c r="AK6" s="97">
        <v>12</v>
      </c>
      <c r="AL6" s="374"/>
      <c r="AM6" s="97"/>
      <c r="AN6" s="374">
        <v>26256</v>
      </c>
      <c r="AO6" s="97">
        <v>4700</v>
      </c>
      <c r="AP6" s="374"/>
      <c r="AQ6" s="97"/>
      <c r="AR6" s="374"/>
      <c r="AS6" s="97"/>
      <c r="AT6" s="374">
        <v>59.45</v>
      </c>
      <c r="AU6" s="97">
        <v>87</v>
      </c>
      <c r="AV6" s="992">
        <f t="shared" si="0"/>
        <v>61545.549999999988</v>
      </c>
      <c r="AW6" s="991">
        <f t="shared" si="1"/>
        <v>61908</v>
      </c>
      <c r="AX6" s="971">
        <v>12801749</v>
      </c>
      <c r="AY6" s="950">
        <v>63395</v>
      </c>
      <c r="AZ6" s="952">
        <f t="shared" si="2"/>
        <v>12863294.550000001</v>
      </c>
      <c r="BA6" s="970">
        <f t="shared" si="3"/>
        <v>125303</v>
      </c>
    </row>
    <row r="7" spans="1:53" ht="14.25" x14ac:dyDescent="0.3">
      <c r="A7" s="414" t="s">
        <v>188</v>
      </c>
      <c r="B7" s="878">
        <v>25</v>
      </c>
      <c r="C7" s="77">
        <v>25</v>
      </c>
      <c r="D7" s="76"/>
      <c r="E7" s="97"/>
      <c r="F7" s="374">
        <v>525</v>
      </c>
      <c r="G7" s="97">
        <v>425</v>
      </c>
      <c r="H7" s="374"/>
      <c r="I7" s="97"/>
      <c r="J7" s="374">
        <v>500</v>
      </c>
      <c r="K7" s="97">
        <v>50</v>
      </c>
      <c r="L7" s="374"/>
      <c r="M7" s="97"/>
      <c r="N7" s="374">
        <v>26</v>
      </c>
      <c r="O7" s="97">
        <v>26</v>
      </c>
      <c r="P7" s="374">
        <v>0.57999999999999996</v>
      </c>
      <c r="Q7" s="97">
        <v>1</v>
      </c>
      <c r="R7" s="374">
        <v>25</v>
      </c>
      <c r="S7" s="97">
        <v>25</v>
      </c>
      <c r="T7" s="374"/>
      <c r="U7" s="97"/>
      <c r="V7" s="374">
        <v>36.119999999999997</v>
      </c>
      <c r="W7" s="97">
        <v>37</v>
      </c>
      <c r="X7" s="374"/>
      <c r="Y7" s="97"/>
      <c r="Z7" s="374"/>
      <c r="AA7" s="97"/>
      <c r="AB7" s="374"/>
      <c r="AC7" s="97"/>
      <c r="AD7" s="374"/>
      <c r="AE7" s="97"/>
      <c r="AF7" s="374"/>
      <c r="AG7" s="97"/>
      <c r="AH7" s="374">
        <v>46</v>
      </c>
      <c r="AI7" s="97">
        <v>53</v>
      </c>
      <c r="AJ7" s="374">
        <v>1600.95</v>
      </c>
      <c r="AK7" s="97">
        <v>1627</v>
      </c>
      <c r="AL7" s="374"/>
      <c r="AM7" s="97"/>
      <c r="AN7" s="374">
        <v>149441</v>
      </c>
      <c r="AO7" s="97">
        <v>216761</v>
      </c>
      <c r="AP7" s="374"/>
      <c r="AQ7" s="97">
        <v>25</v>
      </c>
      <c r="AR7" s="374"/>
      <c r="AS7" s="97"/>
      <c r="AT7" s="374">
        <v>32.659999999999997</v>
      </c>
      <c r="AU7" s="97">
        <v>44</v>
      </c>
      <c r="AV7" s="992">
        <f t="shared" si="0"/>
        <v>152258.31</v>
      </c>
      <c r="AW7" s="991">
        <f t="shared" si="1"/>
        <v>219099</v>
      </c>
      <c r="AX7" s="971">
        <v>11805673</v>
      </c>
      <c r="AY7" s="950">
        <v>104418</v>
      </c>
      <c r="AZ7" s="952">
        <f t="shared" si="2"/>
        <v>11957931.310000001</v>
      </c>
      <c r="BA7" s="970">
        <f t="shared" si="3"/>
        <v>323517</v>
      </c>
    </row>
    <row r="8" spans="1:53" ht="14.25" x14ac:dyDescent="0.3">
      <c r="A8" s="414" t="s">
        <v>189</v>
      </c>
      <c r="B8" s="878">
        <v>38021</v>
      </c>
      <c r="C8" s="77">
        <v>23087</v>
      </c>
      <c r="D8" s="76">
        <v>3530</v>
      </c>
      <c r="E8" s="97">
        <v>2872</v>
      </c>
      <c r="F8" s="374">
        <v>2471.3200000000002</v>
      </c>
      <c r="G8" s="97">
        <v>1709</v>
      </c>
      <c r="H8" s="374">
        <v>31578.25</v>
      </c>
      <c r="I8" s="97">
        <v>22738</v>
      </c>
      <c r="J8" s="374">
        <v>5348.93</v>
      </c>
      <c r="K8" s="97">
        <v>14131</v>
      </c>
      <c r="L8" s="374">
        <v>26928</v>
      </c>
      <c r="M8" s="97">
        <v>31013</v>
      </c>
      <c r="N8" s="374">
        <v>3947</v>
      </c>
      <c r="O8" s="97">
        <v>4237</v>
      </c>
      <c r="P8" s="374">
        <v>6733.23</v>
      </c>
      <c r="Q8" s="97">
        <v>6946</v>
      </c>
      <c r="R8" s="374">
        <v>16563.650000000001</v>
      </c>
      <c r="S8" s="97">
        <v>12127</v>
      </c>
      <c r="T8" s="374">
        <v>6992.7</v>
      </c>
      <c r="U8" s="97">
        <v>9771</v>
      </c>
      <c r="V8" s="374">
        <v>93663.07</v>
      </c>
      <c r="W8" s="97">
        <v>97774</v>
      </c>
      <c r="X8" s="374">
        <v>44736.47</v>
      </c>
      <c r="Y8" s="97">
        <v>54823</v>
      </c>
      <c r="Z8" s="374">
        <v>9506.68</v>
      </c>
      <c r="AA8" s="97">
        <v>17112</v>
      </c>
      <c r="AB8" s="374">
        <v>19383.86</v>
      </c>
      <c r="AC8" s="97">
        <v>25254.67</v>
      </c>
      <c r="AD8" s="374">
        <v>28162.27</v>
      </c>
      <c r="AE8" s="97">
        <v>45750</v>
      </c>
      <c r="AF8" s="374">
        <v>51168.93</v>
      </c>
      <c r="AG8" s="97">
        <v>58909</v>
      </c>
      <c r="AH8" s="374">
        <v>13426</v>
      </c>
      <c r="AI8" s="97">
        <v>8686</v>
      </c>
      <c r="AJ8" s="374">
        <v>21800.01</v>
      </c>
      <c r="AK8" s="97">
        <v>14285</v>
      </c>
      <c r="AL8" s="374"/>
      <c r="AM8" s="97"/>
      <c r="AN8" s="374">
        <v>87510.78</v>
      </c>
      <c r="AO8" s="97">
        <v>88543</v>
      </c>
      <c r="AP8" s="374">
        <v>13354.27</v>
      </c>
      <c r="AQ8" s="97">
        <v>14339</v>
      </c>
      <c r="AR8" s="374">
        <v>17430.14</v>
      </c>
      <c r="AS8" s="97">
        <v>13135</v>
      </c>
      <c r="AT8" s="374">
        <v>50364.800000000003</v>
      </c>
      <c r="AU8" s="97">
        <v>25723</v>
      </c>
      <c r="AV8" s="992">
        <f t="shared" si="0"/>
        <v>592621.3600000001</v>
      </c>
      <c r="AW8" s="991">
        <f t="shared" si="1"/>
        <v>592964.66999999993</v>
      </c>
      <c r="AX8" s="971">
        <v>172786220</v>
      </c>
      <c r="AY8" s="950">
        <v>1980160</v>
      </c>
      <c r="AZ8" s="952">
        <f t="shared" si="2"/>
        <v>173378841.36000001</v>
      </c>
      <c r="BA8" s="970">
        <f t="shared" si="3"/>
        <v>2573124.67</v>
      </c>
    </row>
    <row r="9" spans="1:53" ht="14.25" x14ac:dyDescent="0.3">
      <c r="A9" s="414" t="s">
        <v>190</v>
      </c>
      <c r="B9" s="878"/>
      <c r="C9" s="77"/>
      <c r="D9" s="76"/>
      <c r="E9" s="97"/>
      <c r="F9" s="374"/>
      <c r="G9" s="77"/>
      <c r="H9" s="76"/>
      <c r="I9" s="97"/>
      <c r="J9" s="374"/>
      <c r="K9" s="97"/>
      <c r="L9" s="374"/>
      <c r="M9" s="97"/>
      <c r="N9" s="374"/>
      <c r="O9" s="97"/>
      <c r="P9" s="374"/>
      <c r="Q9" s="97"/>
      <c r="R9" s="374"/>
      <c r="S9" s="97"/>
      <c r="T9" s="374"/>
      <c r="U9" s="97"/>
      <c r="V9" s="374"/>
      <c r="W9" s="97"/>
      <c r="X9" s="374"/>
      <c r="Y9" s="97"/>
      <c r="Z9" s="374"/>
      <c r="AA9" s="97"/>
      <c r="AB9" s="374"/>
      <c r="AC9" s="97"/>
      <c r="AD9" s="374"/>
      <c r="AE9" s="97"/>
      <c r="AF9" s="374"/>
      <c r="AG9" s="97"/>
      <c r="AH9" s="374"/>
      <c r="AI9" s="97"/>
      <c r="AJ9" s="374"/>
      <c r="AK9" s="97"/>
      <c r="AL9" s="374"/>
      <c r="AM9" s="97"/>
      <c r="AN9" s="374">
        <v>336.53</v>
      </c>
      <c r="AO9" s="97">
        <v>462</v>
      </c>
      <c r="AP9" s="374"/>
      <c r="AQ9" s="97"/>
      <c r="AR9" s="374"/>
      <c r="AS9" s="97"/>
      <c r="AT9" s="374"/>
      <c r="AU9" s="97"/>
      <c r="AV9" s="992">
        <f t="shared" si="0"/>
        <v>336.53</v>
      </c>
      <c r="AW9" s="991">
        <f t="shared" si="1"/>
        <v>462</v>
      </c>
      <c r="AX9" s="971"/>
      <c r="AY9" s="950"/>
      <c r="AZ9" s="952">
        <f t="shared" si="2"/>
        <v>336.53</v>
      </c>
      <c r="BA9" s="970">
        <f t="shared" si="3"/>
        <v>462</v>
      </c>
    </row>
    <row r="10" spans="1:53" ht="14.25" x14ac:dyDescent="0.3">
      <c r="A10" s="414" t="s">
        <v>191</v>
      </c>
      <c r="B10" s="878"/>
      <c r="C10" s="726"/>
      <c r="D10" s="979"/>
      <c r="E10" s="97"/>
      <c r="F10" s="374"/>
      <c r="G10" s="728"/>
      <c r="H10" s="978"/>
      <c r="I10" s="97"/>
      <c r="J10" s="374"/>
      <c r="K10" s="97"/>
      <c r="L10" s="374"/>
      <c r="M10" s="97"/>
      <c r="N10" s="374"/>
      <c r="O10" s="97"/>
      <c r="P10" s="374"/>
      <c r="Q10" s="97"/>
      <c r="R10" s="374"/>
      <c r="S10" s="97"/>
      <c r="T10" s="374"/>
      <c r="U10" s="97"/>
      <c r="V10" s="374"/>
      <c r="W10" s="97"/>
      <c r="X10" s="374">
        <v>70.33</v>
      </c>
      <c r="Y10" s="97">
        <v>75</v>
      </c>
      <c r="Z10" s="374"/>
      <c r="AA10" s="97"/>
      <c r="AB10" s="374"/>
      <c r="AC10" s="97"/>
      <c r="AD10" s="374"/>
      <c r="AE10" s="97"/>
      <c r="AF10" s="374"/>
      <c r="AG10" s="97"/>
      <c r="AH10" s="374"/>
      <c r="AI10" s="97"/>
      <c r="AJ10" s="374"/>
      <c r="AK10" s="97"/>
      <c r="AL10" s="374"/>
      <c r="AM10" s="97"/>
      <c r="AN10" s="374">
        <v>8.94</v>
      </c>
      <c r="AO10" s="97">
        <v>10</v>
      </c>
      <c r="AP10" s="374"/>
      <c r="AQ10" s="97"/>
      <c r="AR10" s="374"/>
      <c r="AS10" s="97"/>
      <c r="AT10" s="374"/>
      <c r="AU10" s="97"/>
      <c r="AV10" s="992">
        <f t="shared" si="0"/>
        <v>79.27</v>
      </c>
      <c r="AW10" s="991">
        <f t="shared" si="1"/>
        <v>85</v>
      </c>
      <c r="AX10" s="971"/>
      <c r="AY10" s="950"/>
      <c r="AZ10" s="952">
        <f t="shared" si="2"/>
        <v>79.27</v>
      </c>
      <c r="BA10" s="970">
        <f t="shared" si="3"/>
        <v>85</v>
      </c>
    </row>
    <row r="11" spans="1:53" ht="14.25" x14ac:dyDescent="0.3">
      <c r="A11" s="414" t="s">
        <v>192</v>
      </c>
      <c r="B11" s="878"/>
      <c r="C11" s="97"/>
      <c r="D11" s="374"/>
      <c r="E11" s="97"/>
      <c r="F11" s="374"/>
      <c r="G11" s="97"/>
      <c r="H11" s="374"/>
      <c r="I11" s="97"/>
      <c r="J11" s="374"/>
      <c r="K11" s="97"/>
      <c r="L11" s="374"/>
      <c r="M11" s="97"/>
      <c r="N11" s="374"/>
      <c r="O11" s="97"/>
      <c r="P11" s="374"/>
      <c r="Q11" s="97"/>
      <c r="R11" s="374"/>
      <c r="S11" s="97"/>
      <c r="T11" s="374"/>
      <c r="U11" s="97"/>
      <c r="V11" s="374"/>
      <c r="W11" s="97"/>
      <c r="X11" s="374"/>
      <c r="Y11" s="97"/>
      <c r="Z11" s="374"/>
      <c r="AA11" s="97"/>
      <c r="AB11" s="374"/>
      <c r="AC11" s="97"/>
      <c r="AD11" s="374"/>
      <c r="AE11" s="97"/>
      <c r="AF11" s="374"/>
      <c r="AG11" s="97"/>
      <c r="AH11" s="374"/>
      <c r="AI11" s="97"/>
      <c r="AJ11" s="374"/>
      <c r="AK11" s="97"/>
      <c r="AL11" s="374"/>
      <c r="AM11" s="97"/>
      <c r="AN11" s="374"/>
      <c r="AO11" s="97"/>
      <c r="AP11" s="374"/>
      <c r="AQ11" s="97"/>
      <c r="AR11" s="374"/>
      <c r="AS11" s="97"/>
      <c r="AT11" s="374"/>
      <c r="AU11" s="97"/>
      <c r="AV11" s="992">
        <f t="shared" si="0"/>
        <v>0</v>
      </c>
      <c r="AW11" s="991">
        <f t="shared" si="1"/>
        <v>0</v>
      </c>
      <c r="AX11" s="971"/>
      <c r="AY11" s="950"/>
      <c r="AZ11" s="952">
        <f t="shared" si="2"/>
        <v>0</v>
      </c>
      <c r="BA11" s="970">
        <f t="shared" si="3"/>
        <v>0</v>
      </c>
    </row>
    <row r="12" spans="1:53" ht="14.25" x14ac:dyDescent="0.3">
      <c r="A12" s="414" t="s">
        <v>193</v>
      </c>
      <c r="B12" s="878"/>
      <c r="C12" s="728"/>
      <c r="D12" s="978"/>
      <c r="E12" s="97"/>
      <c r="F12" s="374"/>
      <c r="G12" s="728"/>
      <c r="H12" s="978"/>
      <c r="I12" s="97"/>
      <c r="J12" s="374"/>
      <c r="K12" s="97"/>
      <c r="L12" s="374"/>
      <c r="M12" s="97"/>
      <c r="N12" s="374"/>
      <c r="O12" s="97"/>
      <c r="P12" s="374"/>
      <c r="Q12" s="97"/>
      <c r="R12" s="374"/>
      <c r="S12" s="97"/>
      <c r="T12" s="374"/>
      <c r="U12" s="97"/>
      <c r="V12" s="374"/>
      <c r="W12" s="97"/>
      <c r="X12" s="374"/>
      <c r="Y12" s="97"/>
      <c r="Z12" s="374"/>
      <c r="AA12" s="97"/>
      <c r="AB12" s="374"/>
      <c r="AC12" s="97"/>
      <c r="AD12" s="374"/>
      <c r="AE12" s="97"/>
      <c r="AF12" s="374"/>
      <c r="AG12" s="97"/>
      <c r="AH12" s="374"/>
      <c r="AI12" s="97"/>
      <c r="AJ12" s="374"/>
      <c r="AK12" s="97"/>
      <c r="AL12" s="374"/>
      <c r="AM12" s="97"/>
      <c r="AN12" s="374"/>
      <c r="AO12" s="97"/>
      <c r="AP12" s="374"/>
      <c r="AQ12" s="97"/>
      <c r="AR12" s="374"/>
      <c r="AS12" s="97"/>
      <c r="AT12" s="374"/>
      <c r="AU12" s="97"/>
      <c r="AV12" s="992">
        <f t="shared" si="0"/>
        <v>0</v>
      </c>
      <c r="AW12" s="991">
        <f t="shared" si="1"/>
        <v>0</v>
      </c>
      <c r="AX12" s="971"/>
      <c r="AY12" s="950"/>
      <c r="AZ12" s="952">
        <f t="shared" si="2"/>
        <v>0</v>
      </c>
      <c r="BA12" s="970">
        <f t="shared" si="3"/>
        <v>0</v>
      </c>
    </row>
    <row r="13" spans="1:53" ht="14.25" x14ac:dyDescent="0.3">
      <c r="A13" s="414" t="s">
        <v>194</v>
      </c>
      <c r="B13" s="878"/>
      <c r="C13" s="728"/>
      <c r="D13" s="978"/>
      <c r="E13" s="97"/>
      <c r="F13" s="374"/>
      <c r="G13" s="728"/>
      <c r="H13" s="978"/>
      <c r="I13" s="97"/>
      <c r="J13" s="374"/>
      <c r="K13" s="97"/>
      <c r="L13" s="374"/>
      <c r="M13" s="97"/>
      <c r="N13" s="374"/>
      <c r="O13" s="97"/>
      <c r="P13" s="374"/>
      <c r="Q13" s="97"/>
      <c r="R13" s="374"/>
      <c r="S13" s="97"/>
      <c r="T13" s="374"/>
      <c r="U13" s="97"/>
      <c r="V13" s="374"/>
      <c r="W13" s="97"/>
      <c r="X13" s="374"/>
      <c r="Y13" s="97"/>
      <c r="Z13" s="374"/>
      <c r="AA13" s="97"/>
      <c r="AB13" s="374"/>
      <c r="AC13" s="97"/>
      <c r="AD13" s="374"/>
      <c r="AE13" s="97"/>
      <c r="AF13" s="374"/>
      <c r="AG13" s="97"/>
      <c r="AH13" s="374"/>
      <c r="AI13" s="97"/>
      <c r="AJ13" s="374"/>
      <c r="AK13" s="97"/>
      <c r="AL13" s="374"/>
      <c r="AM13" s="97"/>
      <c r="AN13" s="374"/>
      <c r="AO13" s="97"/>
      <c r="AP13" s="374">
        <v>3050.53</v>
      </c>
      <c r="AQ13" s="97">
        <v>3900</v>
      </c>
      <c r="AR13" s="374"/>
      <c r="AS13" s="97"/>
      <c r="AT13" s="374"/>
      <c r="AU13" s="97"/>
      <c r="AV13" s="992">
        <f t="shared" si="0"/>
        <v>3050.53</v>
      </c>
      <c r="AW13" s="991">
        <f t="shared" si="1"/>
        <v>3900</v>
      </c>
      <c r="AX13" s="971">
        <v>1</v>
      </c>
      <c r="AY13" s="950">
        <v>0.01</v>
      </c>
      <c r="AZ13" s="952">
        <f t="shared" si="2"/>
        <v>3051.53</v>
      </c>
      <c r="BA13" s="970">
        <f t="shared" si="3"/>
        <v>3900.01</v>
      </c>
    </row>
    <row r="14" spans="1:53" ht="14.25" x14ac:dyDescent="0.3">
      <c r="A14" s="414" t="s">
        <v>416</v>
      </c>
      <c r="B14" s="878"/>
      <c r="C14" s="728"/>
      <c r="D14" s="978"/>
      <c r="E14" s="97"/>
      <c r="F14" s="374"/>
      <c r="G14" s="728"/>
      <c r="H14" s="978"/>
      <c r="I14" s="97"/>
      <c r="J14" s="374"/>
      <c r="K14" s="97"/>
      <c r="L14" s="374"/>
      <c r="M14" s="97"/>
      <c r="N14" s="374"/>
      <c r="O14" s="97"/>
      <c r="P14" s="374"/>
      <c r="Q14" s="97"/>
      <c r="R14" s="374"/>
      <c r="S14" s="97"/>
      <c r="T14" s="374"/>
      <c r="U14" s="97"/>
      <c r="V14" s="374"/>
      <c r="W14" s="97"/>
      <c r="X14" s="374"/>
      <c r="Y14" s="97"/>
      <c r="Z14" s="374"/>
      <c r="AA14" s="97"/>
      <c r="AB14" s="374"/>
      <c r="AC14" s="97"/>
      <c r="AD14" s="374"/>
      <c r="AE14" s="97"/>
      <c r="AF14" s="374"/>
      <c r="AG14" s="97"/>
      <c r="AH14" s="374"/>
      <c r="AI14" s="97"/>
      <c r="AJ14" s="374"/>
      <c r="AK14" s="97"/>
      <c r="AL14" s="374"/>
      <c r="AM14" s="97"/>
      <c r="AN14" s="374"/>
      <c r="AO14" s="97"/>
      <c r="AP14" s="374"/>
      <c r="AQ14" s="97"/>
      <c r="AR14" s="374"/>
      <c r="AS14" s="97"/>
      <c r="AT14" s="374"/>
      <c r="AU14" s="97"/>
      <c r="AV14" s="992"/>
      <c r="AW14" s="991"/>
      <c r="AX14" s="971"/>
      <c r="AY14" s="950"/>
      <c r="AZ14" s="952"/>
      <c r="BA14" s="970"/>
    </row>
    <row r="15" spans="1:53" ht="14.25" x14ac:dyDescent="0.3">
      <c r="A15" s="414" t="s">
        <v>417</v>
      </c>
      <c r="B15" s="878"/>
      <c r="C15" s="728"/>
      <c r="D15" s="978"/>
      <c r="E15" s="97"/>
      <c r="F15" s="374"/>
      <c r="G15" s="728"/>
      <c r="H15" s="978"/>
      <c r="I15" s="97"/>
      <c r="J15" s="374"/>
      <c r="K15" s="97"/>
      <c r="L15" s="374"/>
      <c r="M15" s="97"/>
      <c r="N15" s="374"/>
      <c r="O15" s="97"/>
      <c r="P15" s="374"/>
      <c r="Q15" s="97"/>
      <c r="R15" s="374"/>
      <c r="S15" s="97"/>
      <c r="T15" s="374"/>
      <c r="U15" s="97"/>
      <c r="V15" s="374"/>
      <c r="W15" s="97"/>
      <c r="X15" s="374"/>
      <c r="Y15" s="97"/>
      <c r="Z15" s="374"/>
      <c r="AA15" s="97"/>
      <c r="AB15" s="374"/>
      <c r="AC15" s="97"/>
      <c r="AD15" s="374"/>
      <c r="AE15" s="97"/>
      <c r="AF15" s="374"/>
      <c r="AG15" s="97"/>
      <c r="AH15" s="374"/>
      <c r="AI15" s="97"/>
      <c r="AJ15" s="374"/>
      <c r="AK15" s="97"/>
      <c r="AL15" s="374"/>
      <c r="AM15" s="97"/>
      <c r="AN15" s="374"/>
      <c r="AO15" s="97"/>
      <c r="AP15" s="374"/>
      <c r="AQ15" s="97"/>
      <c r="AR15" s="374"/>
      <c r="AS15" s="97"/>
      <c r="AT15" s="374"/>
      <c r="AU15" s="97"/>
      <c r="AV15" s="992"/>
      <c r="AW15" s="991"/>
      <c r="AX15" s="971">
        <v>68513474</v>
      </c>
      <c r="AY15" s="950">
        <v>1155947</v>
      </c>
      <c r="AZ15" s="952"/>
      <c r="BA15" s="970"/>
    </row>
    <row r="16" spans="1:53" ht="14.25" x14ac:dyDescent="0.3">
      <c r="A16" s="414" t="s">
        <v>73</v>
      </c>
      <c r="B16" s="878"/>
      <c r="C16" s="728"/>
      <c r="D16" s="978"/>
      <c r="E16" s="97"/>
      <c r="F16" s="374"/>
      <c r="G16" s="728"/>
      <c r="H16" s="978"/>
      <c r="I16" s="97"/>
      <c r="J16" s="374"/>
      <c r="K16" s="97"/>
      <c r="L16" s="374"/>
      <c r="M16" s="97"/>
      <c r="N16" s="374"/>
      <c r="O16" s="97"/>
      <c r="P16" s="374"/>
      <c r="Q16" s="97"/>
      <c r="R16" s="374"/>
      <c r="S16" s="97"/>
      <c r="T16" s="374"/>
      <c r="U16" s="97"/>
      <c r="V16" s="374"/>
      <c r="W16" s="97"/>
      <c r="X16" s="374"/>
      <c r="Y16" s="97"/>
      <c r="Z16" s="374"/>
      <c r="AA16" s="97"/>
      <c r="AB16" s="374"/>
      <c r="AC16" s="97"/>
      <c r="AD16" s="374"/>
      <c r="AE16" s="97"/>
      <c r="AF16" s="374"/>
      <c r="AG16" s="97"/>
      <c r="AH16" s="374"/>
      <c r="AI16" s="97"/>
      <c r="AJ16" s="374"/>
      <c r="AK16" s="97"/>
      <c r="AL16" s="374"/>
      <c r="AM16" s="97"/>
      <c r="AN16" s="374"/>
      <c r="AO16" s="97"/>
      <c r="AP16" s="374"/>
      <c r="AQ16" s="97"/>
      <c r="AR16" s="374"/>
      <c r="AS16" s="97"/>
      <c r="AT16" s="374"/>
      <c r="AU16" s="97"/>
      <c r="AV16" s="992">
        <f t="shared" si="0"/>
        <v>0</v>
      </c>
      <c r="AW16" s="991">
        <f t="shared" si="1"/>
        <v>0</v>
      </c>
      <c r="AX16" s="971">
        <v>3647772</v>
      </c>
      <c r="AY16" s="950">
        <v>45689</v>
      </c>
      <c r="AZ16" s="952">
        <f t="shared" si="2"/>
        <v>3647772</v>
      </c>
      <c r="BA16" s="970">
        <f t="shared" si="3"/>
        <v>45689</v>
      </c>
    </row>
    <row r="17" spans="1:53" s="1140" customFormat="1" ht="14.25" x14ac:dyDescent="0.3">
      <c r="A17" s="958" t="s">
        <v>195</v>
      </c>
      <c r="B17" s="960">
        <v>62715</v>
      </c>
      <c r="C17" s="1282">
        <f>SUM(C3:C16)</f>
        <v>70494</v>
      </c>
      <c r="D17" s="1283">
        <v>3848</v>
      </c>
      <c r="E17" s="1282">
        <f t="shared" ref="E17:O17" si="4">SUM(E3:E16)</f>
        <v>2923</v>
      </c>
      <c r="F17" s="1283">
        <v>7363.29</v>
      </c>
      <c r="G17" s="1282">
        <f t="shared" si="4"/>
        <v>6613</v>
      </c>
      <c r="H17" s="1283">
        <v>39450.879999999997</v>
      </c>
      <c r="I17" s="1282">
        <f t="shared" si="4"/>
        <v>30141</v>
      </c>
      <c r="J17" s="1283">
        <v>9286.9599999999991</v>
      </c>
      <c r="K17" s="1282">
        <f t="shared" si="4"/>
        <v>18534</v>
      </c>
      <c r="L17" s="1283">
        <v>27157</v>
      </c>
      <c r="M17" s="1282">
        <f t="shared" si="4"/>
        <v>34026</v>
      </c>
      <c r="N17" s="1283">
        <v>4813.33</v>
      </c>
      <c r="O17" s="1282">
        <f t="shared" si="4"/>
        <v>5018</v>
      </c>
      <c r="P17" s="1283">
        <v>9509.5499999999993</v>
      </c>
      <c r="Q17" s="1282">
        <f t="shared" ref="Q17:AU17" si="5">SUM(Q3:Q16)</f>
        <v>10338</v>
      </c>
      <c r="R17" s="1283">
        <v>28977.599999999999</v>
      </c>
      <c r="S17" s="1282">
        <f t="shared" si="5"/>
        <v>26128</v>
      </c>
      <c r="T17" s="1283">
        <v>10934.21</v>
      </c>
      <c r="U17" s="1282">
        <f t="shared" si="5"/>
        <v>13703</v>
      </c>
      <c r="V17" s="1283">
        <v>10355595</v>
      </c>
      <c r="W17" s="1282">
        <f t="shared" si="5"/>
        <v>108656</v>
      </c>
      <c r="X17" s="1283">
        <v>55834.18</v>
      </c>
      <c r="Y17" s="1282">
        <f t="shared" si="5"/>
        <v>67093</v>
      </c>
      <c r="Z17" s="1283">
        <v>9624.8799999999992</v>
      </c>
      <c r="AA17" s="1282">
        <f t="shared" si="5"/>
        <v>17299</v>
      </c>
      <c r="AB17" s="1283">
        <v>19648.259999999998</v>
      </c>
      <c r="AC17" s="1282">
        <f t="shared" si="5"/>
        <v>25597.01</v>
      </c>
      <c r="AD17" s="1283">
        <v>48698.81</v>
      </c>
      <c r="AE17" s="1282">
        <f t="shared" si="5"/>
        <v>57945</v>
      </c>
      <c r="AF17" s="1283">
        <v>57923.42</v>
      </c>
      <c r="AG17" s="1282">
        <f t="shared" si="5"/>
        <v>66169</v>
      </c>
      <c r="AH17" s="1283">
        <v>26670</v>
      </c>
      <c r="AI17" s="1282">
        <f t="shared" si="5"/>
        <v>16332</v>
      </c>
      <c r="AJ17" s="1283">
        <v>29411.49</v>
      </c>
      <c r="AK17" s="1282">
        <f t="shared" si="5"/>
        <v>20672</v>
      </c>
      <c r="AL17" s="1283"/>
      <c r="AM17" s="1282">
        <f t="shared" si="5"/>
        <v>0</v>
      </c>
      <c r="AN17" s="1283">
        <v>271051.84999999998</v>
      </c>
      <c r="AO17" s="1282">
        <f t="shared" si="5"/>
        <v>320421</v>
      </c>
      <c r="AP17" s="1283">
        <v>19600.990000000002</v>
      </c>
      <c r="AQ17" s="1282">
        <f t="shared" si="5"/>
        <v>21727</v>
      </c>
      <c r="AR17" s="1283">
        <v>18841.400000000001</v>
      </c>
      <c r="AS17" s="1282">
        <f t="shared" si="5"/>
        <v>14208</v>
      </c>
      <c r="AT17" s="1283">
        <v>60447.6</v>
      </c>
      <c r="AU17" s="1282">
        <f t="shared" si="5"/>
        <v>39868</v>
      </c>
      <c r="AV17" s="1284">
        <f t="shared" si="0"/>
        <v>11177403.700000001</v>
      </c>
      <c r="AW17" s="1285">
        <f t="shared" si="1"/>
        <v>993905.01</v>
      </c>
      <c r="AX17" s="1286">
        <v>302932545</v>
      </c>
      <c r="AY17" s="1024">
        <v>3743214</v>
      </c>
      <c r="AZ17" s="1287">
        <f t="shared" si="2"/>
        <v>314109948.69999999</v>
      </c>
      <c r="BA17" s="1288">
        <f t="shared" si="3"/>
        <v>4737119.01</v>
      </c>
    </row>
    <row r="18" spans="1:53" ht="14.25" x14ac:dyDescent="0.3">
      <c r="A18" s="414" t="s">
        <v>196</v>
      </c>
      <c r="B18" s="878"/>
      <c r="C18" s="728"/>
      <c r="D18" s="978"/>
      <c r="E18" s="97"/>
      <c r="F18" s="374"/>
      <c r="G18" s="728"/>
      <c r="H18" s="978"/>
      <c r="I18" s="97"/>
      <c r="J18" s="374"/>
      <c r="K18" s="97"/>
      <c r="L18" s="374"/>
      <c r="M18" s="97"/>
      <c r="N18" s="374"/>
      <c r="O18" s="97"/>
      <c r="P18" s="374"/>
      <c r="Q18" s="97"/>
      <c r="R18" s="374">
        <v>0.11</v>
      </c>
      <c r="S18" s="97">
        <v>0</v>
      </c>
      <c r="T18" s="374"/>
      <c r="U18" s="97"/>
      <c r="V18" s="374"/>
      <c r="W18" s="97"/>
      <c r="X18" s="374"/>
      <c r="Y18" s="97"/>
      <c r="Z18" s="374"/>
      <c r="AA18" s="97"/>
      <c r="AB18" s="374">
        <v>48.09</v>
      </c>
      <c r="AC18" s="97">
        <v>53.98</v>
      </c>
      <c r="AD18" s="374"/>
      <c r="AE18" s="97"/>
      <c r="AF18" s="374"/>
      <c r="AG18" s="97"/>
      <c r="AH18" s="374"/>
      <c r="AI18" s="97"/>
      <c r="AJ18" s="374"/>
      <c r="AK18" s="97"/>
      <c r="AL18" s="374"/>
      <c r="AM18" s="97"/>
      <c r="AN18" s="374"/>
      <c r="AO18" s="97"/>
      <c r="AP18" s="374"/>
      <c r="AQ18" s="97"/>
      <c r="AR18" s="374"/>
      <c r="AS18" s="97"/>
      <c r="AT18" s="374"/>
      <c r="AU18" s="97"/>
      <c r="AV18" s="992">
        <f t="shared" si="0"/>
        <v>48.2</v>
      </c>
      <c r="AW18" s="991">
        <f t="shared" si="1"/>
        <v>53.98</v>
      </c>
      <c r="AX18" s="971"/>
      <c r="AY18" s="950"/>
      <c r="AZ18" s="952">
        <f t="shared" si="2"/>
        <v>48.2</v>
      </c>
      <c r="BA18" s="970">
        <f t="shared" si="3"/>
        <v>53.98</v>
      </c>
    </row>
    <row r="19" spans="1:53" ht="14.25" hidden="1" x14ac:dyDescent="0.3">
      <c r="A19" s="366"/>
      <c r="B19" s="972"/>
      <c r="C19" s="97"/>
      <c r="D19" s="374"/>
      <c r="E19" s="97"/>
      <c r="F19" s="374"/>
      <c r="G19" s="97"/>
      <c r="H19" s="374"/>
      <c r="I19" s="97"/>
      <c r="J19" s="374"/>
      <c r="K19" s="97"/>
      <c r="L19" s="374"/>
      <c r="M19" s="97"/>
      <c r="N19" s="374"/>
      <c r="O19" s="97"/>
      <c r="P19" s="374"/>
      <c r="Q19" s="97"/>
      <c r="R19" s="374"/>
      <c r="S19" s="97"/>
      <c r="T19" s="374"/>
      <c r="U19" s="97"/>
      <c r="V19" s="374"/>
      <c r="W19" s="97"/>
      <c r="X19" s="374"/>
      <c r="Y19" s="97"/>
      <c r="Z19" s="374"/>
      <c r="AA19" s="97"/>
      <c r="AB19" s="374"/>
      <c r="AC19" s="97"/>
      <c r="AD19" s="374"/>
      <c r="AE19" s="97"/>
      <c r="AF19" s="374"/>
      <c r="AG19" s="97"/>
      <c r="AH19" s="374"/>
      <c r="AI19" s="97"/>
      <c r="AJ19" s="374"/>
      <c r="AK19" s="97"/>
      <c r="AL19" s="374"/>
      <c r="AM19" s="97"/>
      <c r="AN19" s="374"/>
      <c r="AO19" s="97"/>
      <c r="AP19" s="374"/>
      <c r="AQ19" s="97"/>
      <c r="AR19" s="374"/>
      <c r="AS19" s="97"/>
      <c r="AT19" s="374"/>
      <c r="AU19" s="97"/>
      <c r="AV19" s="992">
        <f t="shared" si="0"/>
        <v>0</v>
      </c>
      <c r="AW19" s="991">
        <f t="shared" si="1"/>
        <v>0</v>
      </c>
      <c r="AX19" s="971"/>
      <c r="AY19" s="950"/>
      <c r="AZ19" s="952">
        <f t="shared" si="2"/>
        <v>0</v>
      </c>
      <c r="BA19" s="970">
        <f t="shared" si="3"/>
        <v>0</v>
      </c>
    </row>
    <row r="20" spans="1:53" ht="14.25" x14ac:dyDescent="0.3">
      <c r="A20" s="414" t="s">
        <v>151</v>
      </c>
      <c r="B20" s="878"/>
      <c r="C20" s="97"/>
      <c r="D20" s="374"/>
      <c r="E20" s="97"/>
      <c r="F20" s="374"/>
      <c r="G20" s="97"/>
      <c r="H20" s="374"/>
      <c r="I20" s="977"/>
      <c r="J20" s="976"/>
      <c r="K20" s="97"/>
      <c r="L20" s="374"/>
      <c r="M20" s="97"/>
      <c r="N20" s="374"/>
      <c r="O20" s="97"/>
      <c r="P20" s="374"/>
      <c r="Q20" s="97"/>
      <c r="R20" s="374"/>
      <c r="S20" s="97"/>
      <c r="T20" s="374"/>
      <c r="U20" s="97"/>
      <c r="V20" s="374"/>
      <c r="W20" s="97"/>
      <c r="X20" s="374"/>
      <c r="Y20" s="97"/>
      <c r="Z20" s="374"/>
      <c r="AA20" s="97"/>
      <c r="AB20" s="374"/>
      <c r="AC20" s="97"/>
      <c r="AD20" s="374"/>
      <c r="AE20" s="97"/>
      <c r="AF20" s="374"/>
      <c r="AG20" s="97"/>
      <c r="AH20" s="374"/>
      <c r="AI20" s="97"/>
      <c r="AJ20" s="374"/>
      <c r="AK20" s="97"/>
      <c r="AL20" s="374"/>
      <c r="AM20" s="97"/>
      <c r="AN20" s="374"/>
      <c r="AO20" s="97"/>
      <c r="AP20" s="374"/>
      <c r="AQ20" s="97"/>
      <c r="AR20" s="374"/>
      <c r="AS20" s="97"/>
      <c r="AT20" s="374"/>
      <c r="AU20" s="97"/>
      <c r="AV20" s="992">
        <f t="shared" si="0"/>
        <v>0</v>
      </c>
      <c r="AW20" s="991">
        <f t="shared" si="1"/>
        <v>0</v>
      </c>
      <c r="AX20" s="971"/>
      <c r="AY20" s="950"/>
      <c r="AZ20" s="952">
        <f t="shared" si="2"/>
        <v>0</v>
      </c>
      <c r="BA20" s="970">
        <f t="shared" si="3"/>
        <v>0</v>
      </c>
    </row>
    <row r="21" spans="1:53" s="86" customFormat="1" ht="14.25" x14ac:dyDescent="0.3">
      <c r="A21" s="414" t="s">
        <v>56</v>
      </c>
      <c r="B21" s="878">
        <v>62715</v>
      </c>
      <c r="C21" s="975">
        <f>C17</f>
        <v>70494</v>
      </c>
      <c r="D21" s="973">
        <v>3848</v>
      </c>
      <c r="E21" s="968">
        <f>E17</f>
        <v>2923</v>
      </c>
      <c r="F21" s="974">
        <v>7363.29</v>
      </c>
      <c r="G21" s="968">
        <f>G17</f>
        <v>6613</v>
      </c>
      <c r="H21" s="974">
        <v>39450.879999999997</v>
      </c>
      <c r="I21" s="968">
        <f>I17</f>
        <v>30141</v>
      </c>
      <c r="J21" s="974">
        <v>9286.9599999999991</v>
      </c>
      <c r="K21" s="968">
        <f>K17</f>
        <v>18534</v>
      </c>
      <c r="L21" s="974">
        <v>27157</v>
      </c>
      <c r="M21" s="968">
        <f>M17</f>
        <v>34026</v>
      </c>
      <c r="N21" s="974">
        <v>4813.33</v>
      </c>
      <c r="O21" s="968">
        <f>O17</f>
        <v>5018</v>
      </c>
      <c r="P21" s="1067">
        <f>P17</f>
        <v>9509.5499999999993</v>
      </c>
      <c r="Q21" s="968">
        <f>Q17</f>
        <v>10338</v>
      </c>
      <c r="R21" s="974">
        <v>28977.599999999999</v>
      </c>
      <c r="S21" s="968">
        <f>S17</f>
        <v>26128</v>
      </c>
      <c r="T21" s="974">
        <v>10934.21</v>
      </c>
      <c r="U21" s="968">
        <f>U17</f>
        <v>13703</v>
      </c>
      <c r="V21" s="974">
        <v>10352873</v>
      </c>
      <c r="W21" s="968">
        <v>108629</v>
      </c>
      <c r="X21" s="974">
        <v>55785.3</v>
      </c>
      <c r="Y21" s="968">
        <v>67062</v>
      </c>
      <c r="Z21" s="974">
        <v>9625</v>
      </c>
      <c r="AA21" s="968">
        <f>AA17</f>
        <v>17299</v>
      </c>
      <c r="AB21" s="974">
        <v>19648.259999999998</v>
      </c>
      <c r="AC21" s="968">
        <f>AC17</f>
        <v>25597.01</v>
      </c>
      <c r="AD21" s="974">
        <v>48698.81</v>
      </c>
      <c r="AE21" s="968">
        <f>AE17</f>
        <v>57945</v>
      </c>
      <c r="AF21" s="974">
        <v>57923.42</v>
      </c>
      <c r="AG21" s="968">
        <f>AG17</f>
        <v>66169</v>
      </c>
      <c r="AH21" s="974">
        <v>26670</v>
      </c>
      <c r="AI21" s="968">
        <f>AI17</f>
        <v>16332</v>
      </c>
      <c r="AJ21" s="974">
        <v>29387.62</v>
      </c>
      <c r="AK21" s="968">
        <v>20641</v>
      </c>
      <c r="AL21" s="974"/>
      <c r="AM21" s="968">
        <f>AM17</f>
        <v>0</v>
      </c>
      <c r="AN21" s="974">
        <v>271051.84999999998</v>
      </c>
      <c r="AO21" s="968">
        <v>320422</v>
      </c>
      <c r="AP21" s="974">
        <v>19600.990000000002</v>
      </c>
      <c r="AQ21" s="968">
        <f>AQ17</f>
        <v>21727</v>
      </c>
      <c r="AR21" s="974">
        <v>18841.400000000001</v>
      </c>
      <c r="AS21" s="968">
        <f>AS17</f>
        <v>14208</v>
      </c>
      <c r="AT21" s="974">
        <v>60447.6</v>
      </c>
      <c r="AU21" s="968">
        <f>AU17</f>
        <v>39868</v>
      </c>
      <c r="AV21" s="992">
        <f t="shared" si="0"/>
        <v>11174609.07</v>
      </c>
      <c r="AW21" s="991">
        <f t="shared" si="1"/>
        <v>993817.01</v>
      </c>
      <c r="AX21" s="971">
        <v>301640729</v>
      </c>
      <c r="AY21" s="969">
        <v>3730573</v>
      </c>
      <c r="AZ21" s="952">
        <f t="shared" si="2"/>
        <v>312815338.06999999</v>
      </c>
      <c r="BA21" s="970">
        <f t="shared" si="3"/>
        <v>4724390.01</v>
      </c>
    </row>
    <row r="22" spans="1:53" ht="14.25" x14ac:dyDescent="0.3">
      <c r="A22" s="414" t="s">
        <v>57</v>
      </c>
      <c r="B22" s="878"/>
      <c r="C22" s="77"/>
      <c r="D22" s="76"/>
      <c r="E22" s="97"/>
      <c r="F22" s="374"/>
      <c r="G22" s="77"/>
      <c r="H22" s="76"/>
      <c r="I22" s="97"/>
      <c r="J22" s="374"/>
      <c r="K22" s="97"/>
      <c r="L22" s="374"/>
      <c r="M22" s="97"/>
      <c r="N22" s="374"/>
      <c r="O22" s="97"/>
      <c r="P22" s="374"/>
      <c r="Q22" s="97"/>
      <c r="R22" s="374"/>
      <c r="S22" s="97"/>
      <c r="T22" s="374"/>
      <c r="U22" s="97"/>
      <c r="V22" s="374">
        <v>2722</v>
      </c>
      <c r="W22" s="97">
        <v>27</v>
      </c>
      <c r="X22" s="374">
        <v>48.88</v>
      </c>
      <c r="Y22" s="97">
        <v>31</v>
      </c>
      <c r="Z22" s="374"/>
      <c r="AA22" s="97"/>
      <c r="AB22" s="374"/>
      <c r="AC22" s="97"/>
      <c r="AD22" s="374"/>
      <c r="AE22" s="97"/>
      <c r="AF22" s="374"/>
      <c r="AG22" s="97"/>
      <c r="AH22" s="374"/>
      <c r="AI22" s="97"/>
      <c r="AJ22" s="374">
        <v>23.87</v>
      </c>
      <c r="AK22" s="97">
        <v>31</v>
      </c>
      <c r="AL22" s="374"/>
      <c r="AM22" s="97"/>
      <c r="AN22" s="374"/>
      <c r="AO22" s="97"/>
      <c r="AP22" s="374"/>
      <c r="AQ22" s="97"/>
      <c r="AR22" s="374"/>
      <c r="AS22" s="97"/>
      <c r="AT22" s="374"/>
      <c r="AU22" s="97"/>
      <c r="AV22" s="992">
        <f t="shared" si="0"/>
        <v>2794.75</v>
      </c>
      <c r="AW22" s="991">
        <f t="shared" si="1"/>
        <v>89</v>
      </c>
      <c r="AX22" s="971">
        <v>1291816</v>
      </c>
      <c r="AY22" s="950">
        <v>12641</v>
      </c>
      <c r="AZ22" s="952">
        <f t="shared" si="2"/>
        <v>1294610.75</v>
      </c>
      <c r="BA22" s="970">
        <f t="shared" si="3"/>
        <v>12730</v>
      </c>
    </row>
    <row r="23" spans="1:53" s="1063" customFormat="1" ht="13.5" x14ac:dyDescent="0.25">
      <c r="A23" s="1195" t="s">
        <v>197</v>
      </c>
      <c r="B23" s="1196">
        <v>62715</v>
      </c>
      <c r="C23" s="1197">
        <f>C17</f>
        <v>70494</v>
      </c>
      <c r="D23" s="1198">
        <v>3848</v>
      </c>
      <c r="E23" s="1197">
        <f t="shared" ref="E23:AS23" si="6">E17</f>
        <v>2923</v>
      </c>
      <c r="F23" s="1198">
        <v>7363.29</v>
      </c>
      <c r="G23" s="1197">
        <f t="shared" si="6"/>
        <v>6613</v>
      </c>
      <c r="H23" s="1198">
        <v>39450.879999999997</v>
      </c>
      <c r="I23" s="1197">
        <f t="shared" si="6"/>
        <v>30141</v>
      </c>
      <c r="J23" s="1198">
        <v>928696</v>
      </c>
      <c r="K23" s="1197">
        <f t="shared" si="6"/>
        <v>18534</v>
      </c>
      <c r="L23" s="1198">
        <v>27157</v>
      </c>
      <c r="M23" s="1197">
        <f t="shared" si="6"/>
        <v>34026</v>
      </c>
      <c r="N23" s="1198">
        <v>4813.33</v>
      </c>
      <c r="O23" s="1197">
        <f t="shared" si="6"/>
        <v>5018</v>
      </c>
      <c r="P23" s="1198">
        <f>P17</f>
        <v>9509.5499999999993</v>
      </c>
      <c r="Q23" s="1197">
        <f t="shared" si="6"/>
        <v>10338</v>
      </c>
      <c r="R23" s="1198">
        <v>28977.599999999999</v>
      </c>
      <c r="S23" s="1197">
        <f t="shared" si="6"/>
        <v>26128</v>
      </c>
      <c r="T23" s="1198">
        <v>10934.21</v>
      </c>
      <c r="U23" s="1197">
        <f t="shared" si="6"/>
        <v>13703</v>
      </c>
      <c r="V23" s="1198">
        <v>10355595</v>
      </c>
      <c r="W23" s="1197">
        <f t="shared" si="6"/>
        <v>108656</v>
      </c>
      <c r="X23" s="1198">
        <v>55834.18</v>
      </c>
      <c r="Y23" s="1197">
        <f t="shared" si="6"/>
        <v>67093</v>
      </c>
      <c r="Z23" s="1198">
        <v>9625</v>
      </c>
      <c r="AA23" s="1197">
        <f t="shared" si="6"/>
        <v>17299</v>
      </c>
      <c r="AB23" s="1198">
        <v>19648.259999999998</v>
      </c>
      <c r="AC23" s="1197">
        <f t="shared" si="6"/>
        <v>25597.01</v>
      </c>
      <c r="AD23" s="1198">
        <v>48698.81</v>
      </c>
      <c r="AE23" s="1197">
        <f t="shared" si="6"/>
        <v>57945</v>
      </c>
      <c r="AF23" s="1198">
        <v>57923.42</v>
      </c>
      <c r="AG23" s="1197">
        <f t="shared" si="6"/>
        <v>66169</v>
      </c>
      <c r="AH23" s="1198">
        <v>26670</v>
      </c>
      <c r="AI23" s="1197">
        <f t="shared" si="6"/>
        <v>16332</v>
      </c>
      <c r="AJ23" s="1198">
        <v>29411.49</v>
      </c>
      <c r="AK23" s="1197">
        <f t="shared" si="6"/>
        <v>20672</v>
      </c>
      <c r="AL23" s="1198"/>
      <c r="AM23" s="1197">
        <f t="shared" si="6"/>
        <v>0</v>
      </c>
      <c r="AN23" s="1198">
        <v>271051.84999999998</v>
      </c>
      <c r="AO23" s="1197">
        <f t="shared" si="6"/>
        <v>320421</v>
      </c>
      <c r="AP23" s="1198">
        <v>19600.990000000002</v>
      </c>
      <c r="AQ23" s="1197">
        <f t="shared" si="6"/>
        <v>21727</v>
      </c>
      <c r="AR23" s="1198">
        <v>18841.400000000001</v>
      </c>
      <c r="AS23" s="1197">
        <f t="shared" si="6"/>
        <v>14208</v>
      </c>
      <c r="AT23" s="1198">
        <v>60447.6</v>
      </c>
      <c r="AU23" s="1199">
        <f>AU17</f>
        <v>39868</v>
      </c>
      <c r="AV23" s="1201">
        <f t="shared" si="0"/>
        <v>12096812.859999999</v>
      </c>
      <c r="AW23" s="1202">
        <f t="shared" si="1"/>
        <v>993905.01</v>
      </c>
      <c r="AX23" s="1198">
        <f>AX21+AX22</f>
        <v>302932545</v>
      </c>
      <c r="AY23" s="1200">
        <f>AY21+AY22</f>
        <v>3743214</v>
      </c>
      <c r="AZ23" s="1196">
        <f t="shared" si="2"/>
        <v>315029357.86000001</v>
      </c>
      <c r="BA23" s="1197">
        <f t="shared" si="3"/>
        <v>4737119.01</v>
      </c>
    </row>
    <row r="24" spans="1:53" ht="14.25" x14ac:dyDescent="0.3">
      <c r="A24" s="414" t="s">
        <v>198</v>
      </c>
      <c r="B24" s="878"/>
      <c r="C24" s="97"/>
      <c r="D24" s="374"/>
      <c r="E24" s="97"/>
      <c r="F24" s="374"/>
      <c r="G24" s="97"/>
      <c r="H24" s="374"/>
      <c r="I24" s="97"/>
      <c r="J24" s="374"/>
      <c r="K24" s="97"/>
      <c r="L24" s="374"/>
      <c r="M24" s="97"/>
      <c r="N24" s="374"/>
      <c r="O24" s="97"/>
      <c r="P24" s="374"/>
      <c r="Q24" s="97"/>
      <c r="R24" s="374"/>
      <c r="S24" s="97"/>
      <c r="T24" s="374"/>
      <c r="U24" s="97"/>
      <c r="V24" s="374"/>
      <c r="W24" s="97"/>
      <c r="X24" s="374"/>
      <c r="Y24" s="97"/>
      <c r="Z24" s="374"/>
      <c r="AA24" s="97"/>
      <c r="AB24" s="374"/>
      <c r="AC24" s="97"/>
      <c r="AD24" s="374"/>
      <c r="AE24" s="97"/>
      <c r="AF24" s="374"/>
      <c r="AG24" s="97"/>
      <c r="AH24" s="374"/>
      <c r="AI24" s="97"/>
      <c r="AJ24" s="374"/>
      <c r="AK24" s="97"/>
      <c r="AL24" s="374"/>
      <c r="AM24" s="97"/>
      <c r="AN24" s="374"/>
      <c r="AO24" s="97"/>
      <c r="AP24" s="374"/>
      <c r="AQ24" s="97"/>
      <c r="AR24" s="374"/>
      <c r="AS24" s="97"/>
      <c r="AT24" s="374"/>
      <c r="AU24" s="97"/>
      <c r="AV24" s="992">
        <f t="shared" si="0"/>
        <v>0</v>
      </c>
      <c r="AW24" s="991">
        <f t="shared" si="1"/>
        <v>0</v>
      </c>
      <c r="AX24" s="971"/>
      <c r="AY24" s="950"/>
      <c r="AZ24" s="952">
        <f t="shared" si="2"/>
        <v>0</v>
      </c>
      <c r="BA24" s="970">
        <f t="shared" si="3"/>
        <v>0</v>
      </c>
    </row>
    <row r="25" spans="1:53" ht="14.25" x14ac:dyDescent="0.3">
      <c r="A25" s="366" t="s">
        <v>0</v>
      </c>
      <c r="B25" s="972"/>
      <c r="C25" s="981"/>
      <c r="D25" s="980"/>
      <c r="E25" s="97"/>
      <c r="F25" s="374"/>
      <c r="G25" s="97"/>
      <c r="H25" s="374"/>
      <c r="I25" s="97"/>
      <c r="J25" s="374"/>
      <c r="K25" s="97"/>
      <c r="L25" s="374"/>
      <c r="M25" s="97"/>
      <c r="N25" s="374"/>
      <c r="O25" s="97"/>
      <c r="P25" s="374"/>
      <c r="Q25" s="97"/>
      <c r="R25" s="374"/>
      <c r="S25" s="97"/>
      <c r="T25" s="374"/>
      <c r="U25" s="97"/>
      <c r="V25" s="374"/>
      <c r="W25" s="97"/>
      <c r="X25" s="374"/>
      <c r="Y25" s="97"/>
      <c r="Z25" s="374"/>
      <c r="AA25" s="97"/>
      <c r="AB25" s="374"/>
      <c r="AC25" s="97"/>
      <c r="AD25" s="374"/>
      <c r="AE25" s="97"/>
      <c r="AF25" s="374"/>
      <c r="AG25" s="97"/>
      <c r="AH25" s="374"/>
      <c r="AI25" s="97"/>
      <c r="AJ25" s="374"/>
      <c r="AK25" s="97"/>
      <c r="AL25" s="374"/>
      <c r="AM25" s="97"/>
      <c r="AN25" s="374"/>
      <c r="AO25" s="97"/>
      <c r="AP25" s="374"/>
      <c r="AQ25" s="97"/>
      <c r="AR25" s="374"/>
      <c r="AS25" s="97"/>
      <c r="AT25" s="374"/>
      <c r="AU25" s="97"/>
      <c r="AV25" s="992">
        <f t="shared" si="0"/>
        <v>0</v>
      </c>
      <c r="AW25" s="991">
        <f t="shared" si="1"/>
        <v>0</v>
      </c>
      <c r="AX25" s="971"/>
      <c r="AY25" s="950"/>
      <c r="AZ25" s="952">
        <f t="shared" si="2"/>
        <v>0</v>
      </c>
      <c r="BA25" s="970">
        <f t="shared" si="3"/>
        <v>0</v>
      </c>
    </row>
    <row r="26" spans="1:53" ht="14.25" x14ac:dyDescent="0.3">
      <c r="A26" s="366" t="s">
        <v>199</v>
      </c>
      <c r="B26" s="972">
        <v>537.14</v>
      </c>
      <c r="C26" s="726">
        <f>C29-C28</f>
        <v>1380</v>
      </c>
      <c r="D26" s="979"/>
      <c r="E26" s="97"/>
      <c r="F26" s="374"/>
      <c r="G26" s="726"/>
      <c r="H26" s="979"/>
      <c r="I26" s="97"/>
      <c r="J26" s="374"/>
      <c r="K26" s="97"/>
      <c r="L26" s="374"/>
      <c r="M26" s="97"/>
      <c r="N26" s="374"/>
      <c r="O26" s="97"/>
      <c r="P26" s="374"/>
      <c r="Q26" s="97"/>
      <c r="R26" s="374"/>
      <c r="S26" s="97"/>
      <c r="T26" s="374"/>
      <c r="U26" s="97"/>
      <c r="V26" s="374"/>
      <c r="W26" s="97"/>
      <c r="X26" s="374"/>
      <c r="Y26" s="97"/>
      <c r="Z26" s="374"/>
      <c r="AA26" s="97"/>
      <c r="AB26" s="374"/>
      <c r="AC26" s="97"/>
      <c r="AD26" s="374">
        <v>1431</v>
      </c>
      <c r="AE26" s="97">
        <v>1478</v>
      </c>
      <c r="AF26" s="374"/>
      <c r="AG26" s="97"/>
      <c r="AH26" s="374"/>
      <c r="AI26" s="97"/>
      <c r="AJ26" s="374"/>
      <c r="AK26" s="97"/>
      <c r="AL26" s="374"/>
      <c r="AM26" s="97"/>
      <c r="AN26" s="374"/>
      <c r="AO26" s="97"/>
      <c r="AP26" s="374"/>
      <c r="AQ26" s="97"/>
      <c r="AR26" s="374">
        <v>30.83</v>
      </c>
      <c r="AS26" s="97">
        <v>16</v>
      </c>
      <c r="AT26" s="374"/>
      <c r="AU26" s="97"/>
      <c r="AV26" s="992">
        <f t="shared" si="0"/>
        <v>1998.9699999999998</v>
      </c>
      <c r="AW26" s="991">
        <f t="shared" si="1"/>
        <v>2874</v>
      </c>
      <c r="AX26" s="971"/>
      <c r="AY26" s="950"/>
      <c r="AZ26" s="952">
        <f t="shared" si="2"/>
        <v>1998.9699999999998</v>
      </c>
      <c r="BA26" s="970">
        <f t="shared" si="3"/>
        <v>2874</v>
      </c>
    </row>
    <row r="27" spans="1:53" ht="14.25" x14ac:dyDescent="0.3">
      <c r="A27" s="366" t="s">
        <v>200</v>
      </c>
      <c r="B27" s="972">
        <v>248.71</v>
      </c>
      <c r="C27" s="77"/>
      <c r="D27" s="76"/>
      <c r="E27" s="97"/>
      <c r="F27" s="374"/>
      <c r="G27" s="77"/>
      <c r="H27" s="76"/>
      <c r="I27" s="97"/>
      <c r="J27" s="374"/>
      <c r="K27" s="97"/>
      <c r="L27" s="374"/>
      <c r="M27" s="97"/>
      <c r="N27" s="374"/>
      <c r="O27" s="97"/>
      <c r="P27" s="374"/>
      <c r="Q27" s="97"/>
      <c r="R27" s="374"/>
      <c r="S27" s="97"/>
      <c r="T27" s="374"/>
      <c r="U27" s="97"/>
      <c r="V27" s="374"/>
      <c r="W27" s="97"/>
      <c r="X27" s="374"/>
      <c r="Y27" s="97"/>
      <c r="Z27" s="374"/>
      <c r="AA27" s="97"/>
      <c r="AB27" s="374"/>
      <c r="AC27" s="97"/>
      <c r="AD27" s="374">
        <v>576</v>
      </c>
      <c r="AE27" s="97">
        <v>792</v>
      </c>
      <c r="AF27" s="374"/>
      <c r="AG27" s="97"/>
      <c r="AH27" s="374"/>
      <c r="AI27" s="97"/>
      <c r="AJ27" s="374"/>
      <c r="AK27" s="97"/>
      <c r="AL27" s="374"/>
      <c r="AM27" s="97"/>
      <c r="AN27" s="374">
        <v>556.5</v>
      </c>
      <c r="AO27" s="97">
        <v>3586</v>
      </c>
      <c r="AP27" s="374"/>
      <c r="AQ27" s="97"/>
      <c r="AR27" s="374"/>
      <c r="AS27" s="97"/>
      <c r="AT27" s="374"/>
      <c r="AU27" s="97"/>
      <c r="AV27" s="992">
        <f t="shared" si="0"/>
        <v>1381.21</v>
      </c>
      <c r="AW27" s="991">
        <f t="shared" si="1"/>
        <v>4378</v>
      </c>
      <c r="AX27" s="971"/>
      <c r="AY27" s="950"/>
      <c r="AZ27" s="952">
        <f t="shared" si="2"/>
        <v>1381.21</v>
      </c>
      <c r="BA27" s="970">
        <f t="shared" si="3"/>
        <v>4378</v>
      </c>
    </row>
    <row r="28" spans="1:53" ht="15" thickBot="1" x14ac:dyDescent="0.35">
      <c r="A28" s="982" t="s">
        <v>201</v>
      </c>
      <c r="B28" s="983">
        <v>5378.52</v>
      </c>
      <c r="C28" s="984">
        <v>5878</v>
      </c>
      <c r="D28" s="985"/>
      <c r="E28" s="534"/>
      <c r="F28" s="535"/>
      <c r="G28" s="984"/>
      <c r="H28" s="985"/>
      <c r="I28" s="534"/>
      <c r="J28" s="535"/>
      <c r="K28" s="534"/>
      <c r="L28" s="535"/>
      <c r="M28" s="534"/>
      <c r="N28" s="535"/>
      <c r="O28" s="534"/>
      <c r="P28" s="535">
        <v>2319</v>
      </c>
      <c r="Q28" s="534">
        <v>2319</v>
      </c>
      <c r="R28" s="535"/>
      <c r="S28" s="534"/>
      <c r="T28" s="535"/>
      <c r="U28" s="534"/>
      <c r="V28" s="535">
        <v>9857</v>
      </c>
      <c r="W28" s="534">
        <v>10845</v>
      </c>
      <c r="X28" s="535"/>
      <c r="Y28" s="534"/>
      <c r="Z28" s="535">
        <v>81</v>
      </c>
      <c r="AA28" s="534">
        <v>115</v>
      </c>
      <c r="AB28" s="535">
        <v>0</v>
      </c>
      <c r="AC28" s="534">
        <v>0</v>
      </c>
      <c r="AD28" s="535">
        <v>8530</v>
      </c>
      <c r="AE28" s="534">
        <v>9925</v>
      </c>
      <c r="AF28" s="535">
        <v>3599</v>
      </c>
      <c r="AG28" s="534">
        <v>3847</v>
      </c>
      <c r="AH28" s="535">
        <v>4082</v>
      </c>
      <c r="AI28" s="534">
        <v>7508</v>
      </c>
      <c r="AJ28" s="535">
        <v>3913</v>
      </c>
      <c r="AK28" s="534">
        <v>3532</v>
      </c>
      <c r="AL28" s="535"/>
      <c r="AM28" s="534"/>
      <c r="AN28" s="535">
        <v>6942.1</v>
      </c>
      <c r="AO28" s="534">
        <v>6360</v>
      </c>
      <c r="AP28" s="535">
        <v>564</v>
      </c>
      <c r="AQ28" s="534">
        <v>535</v>
      </c>
      <c r="AR28" s="535">
        <v>1380.43</v>
      </c>
      <c r="AS28" s="534">
        <v>1057</v>
      </c>
      <c r="AT28" s="535"/>
      <c r="AU28" s="534"/>
      <c r="AV28" s="992">
        <f t="shared" si="0"/>
        <v>46646.05</v>
      </c>
      <c r="AW28" s="991">
        <f t="shared" si="1"/>
        <v>51921</v>
      </c>
      <c r="AX28" s="987">
        <v>228293</v>
      </c>
      <c r="AY28" s="951">
        <v>272273</v>
      </c>
      <c r="AZ28" s="963">
        <f t="shared" si="2"/>
        <v>274939.05</v>
      </c>
      <c r="BA28" s="986">
        <f t="shared" si="3"/>
        <v>324194</v>
      </c>
    </row>
    <row r="29" spans="1:53" s="810" customFormat="1" ht="15" thickBot="1" x14ac:dyDescent="0.35">
      <c r="A29" s="1038" t="s">
        <v>54</v>
      </c>
      <c r="B29" s="1039">
        <v>6164.37</v>
      </c>
      <c r="C29" s="1037">
        <v>7258</v>
      </c>
      <c r="D29" s="1040"/>
      <c r="E29" s="1041"/>
      <c r="F29" s="1042"/>
      <c r="G29" s="1041"/>
      <c r="H29" s="1042"/>
      <c r="I29" s="1041"/>
      <c r="J29" s="1042"/>
      <c r="K29" s="1041"/>
      <c r="L29" s="1042"/>
      <c r="M29" s="1041"/>
      <c r="N29" s="1042"/>
      <c r="O29" s="1041"/>
      <c r="P29" s="1042"/>
      <c r="Q29" s="1041"/>
      <c r="R29" s="1042"/>
      <c r="S29" s="1041"/>
      <c r="T29" s="1042"/>
      <c r="U29" s="1041"/>
      <c r="V29" s="1042"/>
      <c r="W29" s="1041"/>
      <c r="X29" s="1042"/>
      <c r="Y29" s="1041"/>
      <c r="Z29" s="1042"/>
      <c r="AA29" s="1041"/>
      <c r="AB29" s="1042"/>
      <c r="AC29" s="1041"/>
      <c r="AD29" s="1042">
        <v>10537</v>
      </c>
      <c r="AE29" s="1041">
        <v>12195</v>
      </c>
      <c r="AF29" s="1042"/>
      <c r="AG29" s="1041"/>
      <c r="AH29" s="1042"/>
      <c r="AI29" s="1041"/>
      <c r="AJ29" s="1042"/>
      <c r="AK29" s="1041"/>
      <c r="AL29" s="1042"/>
      <c r="AM29" s="1041"/>
      <c r="AN29" s="1042">
        <v>7498.6</v>
      </c>
      <c r="AO29" s="1041">
        <v>9945</v>
      </c>
      <c r="AP29" s="1042"/>
      <c r="AQ29" s="1041"/>
      <c r="AR29" s="1042">
        <v>1411.26</v>
      </c>
      <c r="AS29" s="1041">
        <v>1073</v>
      </c>
      <c r="AT29" s="1042"/>
      <c r="AU29" s="1041"/>
      <c r="AV29" s="1043">
        <f t="shared" si="0"/>
        <v>25611.23</v>
      </c>
      <c r="AW29" s="1044">
        <f t="shared" si="1"/>
        <v>30471</v>
      </c>
      <c r="AX29" s="1045"/>
      <c r="AY29" s="1046"/>
      <c r="AZ29" s="1047">
        <f t="shared" si="2"/>
        <v>25611.23</v>
      </c>
      <c r="BA29" s="1048">
        <f t="shared" si="3"/>
        <v>30471</v>
      </c>
    </row>
  </sheetData>
  <mergeCells count="26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X1:AY1"/>
    <mergeCell ref="AZ1:BA1"/>
    <mergeCell ref="AL1:AM1"/>
    <mergeCell ref="AN1:AO1"/>
    <mergeCell ref="AP1:AQ1"/>
    <mergeCell ref="AR1:AS1"/>
    <mergeCell ref="AT1:AU1"/>
    <mergeCell ref="AV1:AW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K27"/>
  <sheetViews>
    <sheetView workbookViewId="0">
      <pane xSplit="1" topLeftCell="B1" activePane="topRight" state="frozen"/>
      <selection pane="topRight" activeCell="M15" sqref="M15"/>
    </sheetView>
  </sheetViews>
  <sheetFormatPr defaultRowHeight="15" x14ac:dyDescent="0.25"/>
  <cols>
    <col min="1" max="1" width="38.28515625" style="1295" customWidth="1"/>
    <col min="2" max="2" width="10.42578125" customWidth="1"/>
    <col min="3" max="3" width="11.85546875" customWidth="1"/>
    <col min="4" max="4" width="12.5703125" customWidth="1"/>
    <col min="5" max="5" width="10.5703125" customWidth="1"/>
    <col min="6" max="6" width="11.42578125" customWidth="1"/>
    <col min="7" max="7" width="10.28515625" customWidth="1"/>
    <col min="8" max="10" width="10.7109375" customWidth="1"/>
    <col min="11" max="11" width="11" customWidth="1"/>
  </cols>
  <sheetData>
    <row r="1" spans="1:11" ht="18.75" thickBot="1" x14ac:dyDescent="0.3">
      <c r="A1" s="1391" t="s">
        <v>426</v>
      </c>
      <c r="B1" s="1392"/>
      <c r="C1" s="1392"/>
      <c r="D1" s="1392"/>
      <c r="E1" s="1392"/>
      <c r="F1" s="1392"/>
      <c r="G1" s="1392"/>
      <c r="H1" s="1392"/>
      <c r="I1" s="1392"/>
      <c r="J1" s="1392"/>
      <c r="K1" s="1392"/>
    </row>
    <row r="2" spans="1:11" s="159" customFormat="1" ht="18.75" thickBot="1" x14ac:dyDescent="0.4">
      <c r="A2" s="1384" t="s">
        <v>389</v>
      </c>
      <c r="B2" s="1386" t="s">
        <v>415</v>
      </c>
      <c r="C2" s="1387"/>
      <c r="D2" s="1387"/>
      <c r="E2" s="1387"/>
      <c r="F2" s="1387"/>
      <c r="G2" s="1388" t="s">
        <v>414</v>
      </c>
      <c r="H2" s="1389"/>
      <c r="I2" s="1389"/>
      <c r="J2" s="1389"/>
      <c r="K2" s="1390"/>
    </row>
    <row r="3" spans="1:11" ht="33.75" thickBot="1" x14ac:dyDescent="0.3">
      <c r="A3" s="1385"/>
      <c r="B3" s="1069" t="s">
        <v>418</v>
      </c>
      <c r="C3" s="1070" t="s">
        <v>419</v>
      </c>
      <c r="D3" s="1070" t="s">
        <v>420</v>
      </c>
      <c r="E3" s="1070" t="s">
        <v>421</v>
      </c>
      <c r="F3" s="1071" t="s">
        <v>422</v>
      </c>
      <c r="G3" s="1069" t="s">
        <v>418</v>
      </c>
      <c r="H3" s="1070" t="s">
        <v>419</v>
      </c>
      <c r="I3" s="1070" t="s">
        <v>420</v>
      </c>
      <c r="J3" s="1070" t="s">
        <v>421</v>
      </c>
      <c r="K3" s="1070" t="s">
        <v>422</v>
      </c>
    </row>
    <row r="4" spans="1:11" ht="17.25" thickBot="1" x14ac:dyDescent="0.35">
      <c r="A4" s="1292" t="s">
        <v>390</v>
      </c>
      <c r="B4" s="1072">
        <v>74.48</v>
      </c>
      <c r="C4" s="1072">
        <v>63.35</v>
      </c>
      <c r="D4" s="1072">
        <v>56.7</v>
      </c>
      <c r="E4" s="1072">
        <v>46.09</v>
      </c>
      <c r="F4" s="1073">
        <v>40.21</v>
      </c>
      <c r="G4" s="1074">
        <v>84.6</v>
      </c>
      <c r="H4" s="1075">
        <v>72.08</v>
      </c>
      <c r="I4" s="1075">
        <v>66.78</v>
      </c>
      <c r="J4" s="1075">
        <v>58.79</v>
      </c>
      <c r="K4" s="1076">
        <v>51.66</v>
      </c>
    </row>
    <row r="5" spans="1:11" ht="17.25" thickBot="1" x14ac:dyDescent="0.35">
      <c r="A5" s="1292" t="s">
        <v>391</v>
      </c>
      <c r="B5" s="1072">
        <v>76</v>
      </c>
      <c r="C5" s="1072">
        <v>70</v>
      </c>
      <c r="D5" s="1072">
        <v>66</v>
      </c>
      <c r="E5" s="1072">
        <v>59</v>
      </c>
      <c r="F5" s="1073">
        <v>51</v>
      </c>
      <c r="G5" s="1074">
        <v>70</v>
      </c>
      <c r="H5" s="1075">
        <v>60</v>
      </c>
      <c r="I5" s="1075">
        <v>57</v>
      </c>
      <c r="J5" s="1075">
        <v>50</v>
      </c>
      <c r="K5" s="1076">
        <v>39</v>
      </c>
    </row>
    <row r="6" spans="1:11" ht="17.25" thickBot="1" x14ac:dyDescent="0.35">
      <c r="A6" s="1293" t="s">
        <v>392</v>
      </c>
      <c r="B6" s="1077">
        <v>66</v>
      </c>
      <c r="C6" s="1078">
        <v>57</v>
      </c>
      <c r="D6" s="1078">
        <v>58</v>
      </c>
      <c r="E6" s="1078">
        <v>59</v>
      </c>
      <c r="F6" s="1079">
        <v>42</v>
      </c>
      <c r="G6" s="1080">
        <v>73</v>
      </c>
      <c r="H6" s="1081">
        <v>62</v>
      </c>
      <c r="I6" s="1081">
        <v>48</v>
      </c>
      <c r="J6" s="1081">
        <v>48</v>
      </c>
      <c r="K6" s="1082">
        <v>42</v>
      </c>
    </row>
    <row r="7" spans="1:11" ht="17.25" thickBot="1" x14ac:dyDescent="0.35">
      <c r="A7" s="1292" t="s">
        <v>393</v>
      </c>
      <c r="B7" s="1072">
        <v>74.7</v>
      </c>
      <c r="C7" s="1072">
        <v>62.4</v>
      </c>
      <c r="D7" s="1072">
        <v>54.1</v>
      </c>
      <c r="E7" s="1072">
        <v>45.1</v>
      </c>
      <c r="F7" s="1073">
        <v>40.799999999999997</v>
      </c>
      <c r="G7" s="1074">
        <v>81.7</v>
      </c>
      <c r="H7" s="1075">
        <v>74.400000000000006</v>
      </c>
      <c r="I7" s="1075">
        <v>64.3</v>
      </c>
      <c r="J7" s="1075">
        <v>61.5</v>
      </c>
      <c r="K7" s="1076">
        <v>48.4</v>
      </c>
    </row>
    <row r="8" spans="1:11" ht="17.25" thickBot="1" x14ac:dyDescent="0.35">
      <c r="A8" s="1292" t="s">
        <v>394</v>
      </c>
      <c r="B8" s="1072">
        <v>59.6</v>
      </c>
      <c r="C8" s="1072">
        <v>31.1</v>
      </c>
      <c r="D8" s="1072">
        <v>37.9</v>
      </c>
      <c r="E8" s="1072">
        <v>39.6</v>
      </c>
      <c r="F8" s="1073">
        <v>36.700000000000003</v>
      </c>
      <c r="G8" s="1074">
        <v>67.400000000000006</v>
      </c>
      <c r="H8" s="1075">
        <v>50.7</v>
      </c>
      <c r="I8" s="1075">
        <v>45.8</v>
      </c>
      <c r="J8" s="1075">
        <v>46.7</v>
      </c>
      <c r="K8" s="1076">
        <v>43.2</v>
      </c>
    </row>
    <row r="9" spans="1:11" ht="17.25" thickBot="1" x14ac:dyDescent="0.35">
      <c r="A9" s="1292" t="s">
        <v>395</v>
      </c>
      <c r="B9" s="1083">
        <v>71.8</v>
      </c>
      <c r="C9" s="1083">
        <v>63.2</v>
      </c>
      <c r="D9" s="1083">
        <v>57.9</v>
      </c>
      <c r="E9" s="1083">
        <v>55.6</v>
      </c>
      <c r="F9" s="1084">
        <v>42.5</v>
      </c>
      <c r="G9" s="1074">
        <v>74.5</v>
      </c>
      <c r="H9" s="1075">
        <v>69.8</v>
      </c>
      <c r="I9" s="1075">
        <v>64.7</v>
      </c>
      <c r="J9" s="1075">
        <v>63.2</v>
      </c>
      <c r="K9" s="1076">
        <v>47.3</v>
      </c>
    </row>
    <row r="10" spans="1:11" ht="17.25" thickBot="1" x14ac:dyDescent="0.35">
      <c r="A10" s="1293" t="s">
        <v>396</v>
      </c>
      <c r="B10" s="1078">
        <v>76.2</v>
      </c>
      <c r="C10" s="1078">
        <v>70.25</v>
      </c>
      <c r="D10" s="1078">
        <v>54.26</v>
      </c>
      <c r="E10" s="1078">
        <v>52.12</v>
      </c>
      <c r="F10" s="1079">
        <v>50.68</v>
      </c>
      <c r="G10" s="1080">
        <v>77.27</v>
      </c>
      <c r="H10" s="1081">
        <v>71.38</v>
      </c>
      <c r="I10" s="1081">
        <v>53.87</v>
      </c>
      <c r="J10" s="1081">
        <v>51.64</v>
      </c>
      <c r="K10" s="1082">
        <v>50.05</v>
      </c>
    </row>
    <row r="11" spans="1:11" ht="17.25" thickBot="1" x14ac:dyDescent="0.35">
      <c r="A11" s="1292" t="s">
        <v>397</v>
      </c>
      <c r="B11" s="1083">
        <v>63.8</v>
      </c>
      <c r="C11" s="1083">
        <v>59.1</v>
      </c>
      <c r="D11" s="1083">
        <v>52.4</v>
      </c>
      <c r="E11" s="1083">
        <v>44.8</v>
      </c>
      <c r="F11" s="1084">
        <v>32.200000000000003</v>
      </c>
      <c r="G11" s="1074">
        <v>70.8</v>
      </c>
      <c r="H11" s="1075">
        <v>63.5</v>
      </c>
      <c r="I11" s="1075">
        <v>56.9</v>
      </c>
      <c r="J11" s="1075">
        <v>54.4</v>
      </c>
      <c r="K11" s="1076">
        <v>35</v>
      </c>
    </row>
    <row r="12" spans="1:11" ht="17.25" thickBot="1" x14ac:dyDescent="0.35">
      <c r="A12" s="1292" t="s">
        <v>398</v>
      </c>
      <c r="B12" s="1083">
        <v>64.3</v>
      </c>
      <c r="C12" s="1083">
        <v>53.2</v>
      </c>
      <c r="D12" s="1083">
        <v>49.7</v>
      </c>
      <c r="E12" s="1083">
        <v>46.4</v>
      </c>
      <c r="F12" s="1084">
        <v>34.5</v>
      </c>
      <c r="G12" s="1074">
        <v>77.400000000000006</v>
      </c>
      <c r="H12" s="1075">
        <v>65.900000000000006</v>
      </c>
      <c r="I12" s="1075">
        <v>56.8</v>
      </c>
      <c r="J12" s="1075">
        <v>52.9</v>
      </c>
      <c r="K12" s="1076">
        <v>37.5</v>
      </c>
    </row>
    <row r="13" spans="1:11" ht="17.25" thickBot="1" x14ac:dyDescent="0.35">
      <c r="A13" s="1293" t="s">
        <v>399</v>
      </c>
      <c r="B13" s="1078">
        <v>65.239999999999995</v>
      </c>
      <c r="C13" s="1078">
        <v>50.6</v>
      </c>
      <c r="D13" s="1078">
        <v>37.92</v>
      </c>
      <c r="E13" s="1078">
        <v>27.67</v>
      </c>
      <c r="F13" s="1079">
        <v>25.7</v>
      </c>
      <c r="G13" s="1080">
        <v>74.14</v>
      </c>
      <c r="H13" s="1081">
        <v>55.56</v>
      </c>
      <c r="I13" s="1081">
        <v>35.29</v>
      </c>
      <c r="J13" s="1081">
        <v>26.98</v>
      </c>
      <c r="K13" s="1082">
        <v>19.850000000000001</v>
      </c>
    </row>
    <row r="14" spans="1:11" ht="17.25" thickBot="1" x14ac:dyDescent="0.35">
      <c r="A14" s="1292" t="s">
        <v>400</v>
      </c>
      <c r="B14" s="1072">
        <v>80.52</v>
      </c>
      <c r="C14" s="1072">
        <v>69.78</v>
      </c>
      <c r="D14" s="1072">
        <v>58.7</v>
      </c>
      <c r="E14" s="1072">
        <v>54.28</v>
      </c>
      <c r="F14" s="1073">
        <v>46.23</v>
      </c>
      <c r="G14" s="1074">
        <v>87.46</v>
      </c>
      <c r="H14" s="1075">
        <v>78.819999999999993</v>
      </c>
      <c r="I14" s="1075">
        <v>67.27</v>
      </c>
      <c r="J14" s="1075">
        <v>63.23</v>
      </c>
      <c r="K14" s="1076">
        <v>53.99</v>
      </c>
    </row>
    <row r="15" spans="1:11" ht="23.25" customHeight="1" thickBot="1" x14ac:dyDescent="0.35">
      <c r="A15" s="1293" t="s">
        <v>401</v>
      </c>
      <c r="B15" s="1078">
        <v>75.099999999999994</v>
      </c>
      <c r="C15" s="1078">
        <v>68.3</v>
      </c>
      <c r="D15" s="1078">
        <v>58.2</v>
      </c>
      <c r="E15" s="1078">
        <v>54.7</v>
      </c>
      <c r="F15" s="1079">
        <v>41.3</v>
      </c>
      <c r="G15" s="1080">
        <v>84.6</v>
      </c>
      <c r="H15" s="1081">
        <v>77.3</v>
      </c>
      <c r="I15" s="1081">
        <v>66.900000000000006</v>
      </c>
      <c r="J15" s="1081">
        <v>63.4</v>
      </c>
      <c r="K15" s="1082">
        <v>54.7</v>
      </c>
    </row>
    <row r="16" spans="1:11" ht="19.5" customHeight="1" thickBot="1" x14ac:dyDescent="0.35">
      <c r="A16" s="1292" t="s">
        <v>413</v>
      </c>
      <c r="B16" s="1072">
        <v>66.13</v>
      </c>
      <c r="C16" s="1072">
        <v>62.38</v>
      </c>
      <c r="D16" s="1072">
        <v>54.42</v>
      </c>
      <c r="E16" s="1072">
        <v>51.95</v>
      </c>
      <c r="F16" s="1073">
        <v>37.06</v>
      </c>
      <c r="G16" s="1074">
        <v>78.92</v>
      </c>
      <c r="H16" s="1075">
        <v>70.37</v>
      </c>
      <c r="I16" s="1075">
        <v>59.16</v>
      </c>
      <c r="J16" s="1075">
        <v>55.18</v>
      </c>
      <c r="K16" s="1076">
        <v>41.75</v>
      </c>
    </row>
    <row r="17" spans="1:11" ht="17.25" thickBot="1" x14ac:dyDescent="0.35">
      <c r="A17" s="1293" t="s">
        <v>402</v>
      </c>
      <c r="B17" s="1078">
        <v>69.430000000000007</v>
      </c>
      <c r="C17" s="1078">
        <v>61.4</v>
      </c>
      <c r="D17" s="1078">
        <v>52.53</v>
      </c>
      <c r="E17" s="1078">
        <v>45.7</v>
      </c>
      <c r="F17" s="1079">
        <v>39.270000000000003</v>
      </c>
      <c r="G17" s="1080">
        <v>81.16</v>
      </c>
      <c r="H17" s="1081">
        <v>70.319999999999993</v>
      </c>
      <c r="I17" s="1081">
        <v>61.93</v>
      </c>
      <c r="J17" s="1081">
        <v>57.51</v>
      </c>
      <c r="K17" s="1082">
        <v>43.98</v>
      </c>
    </row>
    <row r="18" spans="1:11" ht="17.25" thickBot="1" x14ac:dyDescent="0.35">
      <c r="A18" s="1292" t="s">
        <v>403</v>
      </c>
      <c r="B18" s="1083">
        <v>77.3</v>
      </c>
      <c r="C18" s="1083">
        <v>71</v>
      </c>
      <c r="D18" s="1083">
        <v>62.1</v>
      </c>
      <c r="E18" s="1083">
        <v>57</v>
      </c>
      <c r="F18" s="1084">
        <v>50.3</v>
      </c>
      <c r="G18" s="1074">
        <v>82.7</v>
      </c>
      <c r="H18" s="1075">
        <v>74.5</v>
      </c>
      <c r="I18" s="1075">
        <v>65.099999999999994</v>
      </c>
      <c r="J18" s="1075">
        <v>61.4</v>
      </c>
      <c r="K18" s="1076">
        <v>50.3</v>
      </c>
    </row>
    <row r="19" spans="1:11" ht="17.25" thickBot="1" x14ac:dyDescent="0.35">
      <c r="A19" s="1293" t="s">
        <v>404</v>
      </c>
      <c r="B19" s="1078">
        <v>82</v>
      </c>
      <c r="C19" s="1078">
        <v>67</v>
      </c>
      <c r="D19" s="1078">
        <v>59</v>
      </c>
      <c r="E19" s="1078">
        <v>53</v>
      </c>
      <c r="F19" s="1079">
        <v>47</v>
      </c>
      <c r="G19" s="1080">
        <v>84</v>
      </c>
      <c r="H19" s="1081">
        <v>67</v>
      </c>
      <c r="I19" s="1081">
        <v>60</v>
      </c>
      <c r="J19" s="1081">
        <v>55</v>
      </c>
      <c r="K19" s="1082">
        <v>49</v>
      </c>
    </row>
    <row r="20" spans="1:11" ht="17.25" thickBot="1" x14ac:dyDescent="0.35">
      <c r="A20" s="1292" t="s">
        <v>405</v>
      </c>
      <c r="B20" s="1083">
        <v>76.8</v>
      </c>
      <c r="C20" s="1083">
        <v>66.75</v>
      </c>
      <c r="D20" s="1083">
        <v>56.65</v>
      </c>
      <c r="E20" s="1083">
        <v>52.04</v>
      </c>
      <c r="F20" s="1084">
        <v>43.95</v>
      </c>
      <c r="G20" s="1074">
        <v>79.53</v>
      </c>
      <c r="H20" s="1075">
        <v>64.33</v>
      </c>
      <c r="I20" s="1075">
        <v>53.86</v>
      </c>
      <c r="J20" s="1075">
        <v>52.56</v>
      </c>
      <c r="K20" s="1076">
        <v>44.28</v>
      </c>
    </row>
    <row r="21" spans="1:11" ht="17.25" thickBot="1" x14ac:dyDescent="0.35">
      <c r="A21" s="1292" t="s">
        <v>406</v>
      </c>
      <c r="B21" s="1072">
        <v>72.3</v>
      </c>
      <c r="C21" s="1072">
        <v>62.5</v>
      </c>
      <c r="D21" s="1072">
        <v>54.9</v>
      </c>
      <c r="E21" s="1072">
        <v>52.1</v>
      </c>
      <c r="F21" s="1073">
        <v>41</v>
      </c>
      <c r="G21" s="1074">
        <v>78.099999999999994</v>
      </c>
      <c r="H21" s="1075">
        <v>64.3</v>
      </c>
      <c r="I21" s="1075">
        <v>56.5</v>
      </c>
      <c r="J21" s="1075">
        <v>55.6</v>
      </c>
      <c r="K21" s="1076">
        <v>41.6</v>
      </c>
    </row>
    <row r="22" spans="1:11" ht="17.25" thickBot="1" x14ac:dyDescent="0.35">
      <c r="A22" s="1292" t="s">
        <v>407</v>
      </c>
      <c r="B22" s="1083"/>
      <c r="C22" s="1083"/>
      <c r="D22" s="1083"/>
      <c r="E22" s="1083"/>
      <c r="F22" s="1084"/>
      <c r="G22" s="1074"/>
      <c r="H22" s="1075"/>
      <c r="I22" s="1075"/>
      <c r="J22" s="1075"/>
      <c r="K22" s="1076"/>
    </row>
    <row r="23" spans="1:11" ht="17.25" thickBot="1" x14ac:dyDescent="0.35">
      <c r="A23" s="1293" t="s">
        <v>408</v>
      </c>
      <c r="B23" s="1078">
        <v>79.8</v>
      </c>
      <c r="C23" s="1078">
        <v>70.25</v>
      </c>
      <c r="D23" s="1078">
        <v>62.61</v>
      </c>
      <c r="E23" s="1078">
        <v>60.24</v>
      </c>
      <c r="F23" s="1079">
        <v>40.28</v>
      </c>
      <c r="G23" s="1080">
        <v>85.13</v>
      </c>
      <c r="H23" s="1081">
        <v>78.23</v>
      </c>
      <c r="I23" s="1081">
        <v>71.760000000000005</v>
      </c>
      <c r="J23" s="1081">
        <v>69.819999999999993</v>
      </c>
      <c r="K23" s="1082">
        <v>49.63</v>
      </c>
    </row>
    <row r="24" spans="1:11" ht="17.25" thickBot="1" x14ac:dyDescent="0.35">
      <c r="A24" s="1292" t="s">
        <v>409</v>
      </c>
      <c r="B24" s="1083">
        <v>42.7</v>
      </c>
      <c r="C24" s="1083">
        <v>34.799999999999997</v>
      </c>
      <c r="D24" s="1083">
        <v>27.8</v>
      </c>
      <c r="E24" s="1083">
        <v>21.2</v>
      </c>
      <c r="F24" s="1084">
        <v>19.7</v>
      </c>
      <c r="G24" s="1074">
        <v>54.3</v>
      </c>
      <c r="H24" s="1075">
        <v>48.5</v>
      </c>
      <c r="I24" s="1075">
        <v>41.8</v>
      </c>
      <c r="J24" s="1075">
        <v>31.8</v>
      </c>
      <c r="K24" s="1076">
        <v>27</v>
      </c>
    </row>
    <row r="25" spans="1:11" ht="22.5" customHeight="1" thickBot="1" x14ac:dyDescent="0.35">
      <c r="A25" s="1293" t="s">
        <v>410</v>
      </c>
      <c r="B25" s="1078">
        <v>66.900000000000006</v>
      </c>
      <c r="C25" s="1078">
        <v>58.94</v>
      </c>
      <c r="D25" s="1078">
        <v>49.52</v>
      </c>
      <c r="E25" s="1078">
        <v>44.2</v>
      </c>
      <c r="F25" s="1079">
        <v>34.08</v>
      </c>
      <c r="G25" s="1080">
        <v>72.73</v>
      </c>
      <c r="H25" s="1081">
        <v>63.2</v>
      </c>
      <c r="I25" s="1081">
        <v>53.79</v>
      </c>
      <c r="J25" s="1081">
        <v>49.58</v>
      </c>
      <c r="K25" s="1082">
        <v>30.79</v>
      </c>
    </row>
    <row r="26" spans="1:11" ht="17.25" thickBot="1" x14ac:dyDescent="0.35">
      <c r="A26" s="1292" t="s">
        <v>411</v>
      </c>
      <c r="B26" s="1072">
        <v>81.180000000000007</v>
      </c>
      <c r="C26" s="1072">
        <v>64.650000000000006</v>
      </c>
      <c r="D26" s="1072">
        <v>59.17</v>
      </c>
      <c r="E26" s="1072">
        <v>54.45</v>
      </c>
      <c r="F26" s="1073">
        <v>40.619999999999997</v>
      </c>
      <c r="G26" s="1074">
        <v>87.75</v>
      </c>
      <c r="H26" s="1075">
        <v>79.48</v>
      </c>
      <c r="I26" s="1075">
        <v>70.45</v>
      </c>
      <c r="J26" s="1075">
        <v>63.49</v>
      </c>
      <c r="K26" s="1076">
        <v>45.2</v>
      </c>
    </row>
    <row r="27" spans="1:11" ht="17.25" thickBot="1" x14ac:dyDescent="0.35">
      <c r="A27" s="1294" t="s">
        <v>412</v>
      </c>
      <c r="B27" s="1085">
        <v>63.45</v>
      </c>
      <c r="C27" s="1085">
        <v>60.7</v>
      </c>
      <c r="D27" s="1085">
        <v>54.09</v>
      </c>
      <c r="E27" s="1085">
        <v>51.9</v>
      </c>
      <c r="F27" s="1086">
        <v>49.86</v>
      </c>
      <c r="G27" s="1087">
        <v>75.59</v>
      </c>
      <c r="H27" s="1088">
        <v>73.47</v>
      </c>
      <c r="I27" s="1088">
        <v>66.58</v>
      </c>
      <c r="J27" s="1088">
        <v>63.85</v>
      </c>
      <c r="K27" s="1089">
        <v>61</v>
      </c>
    </row>
  </sheetData>
  <mergeCells count="4">
    <mergeCell ref="A2:A3"/>
    <mergeCell ref="B2:F2"/>
    <mergeCell ref="G2:K2"/>
    <mergeCell ref="A1:K1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</sheetPr>
  <dimension ref="A1:BA16"/>
  <sheetViews>
    <sheetView topLeftCell="A13" workbookViewId="0">
      <pane xSplit="1" topLeftCell="AN1" activePane="topRight" state="frozen"/>
      <selection pane="topRight" activeCell="D3" sqref="D3:E3"/>
    </sheetView>
  </sheetViews>
  <sheetFormatPr defaultRowHeight="14.25" x14ac:dyDescent="0.3"/>
  <cols>
    <col min="1" max="1" width="33.140625" style="9" bestFit="1" customWidth="1"/>
    <col min="2" max="2" width="8.5703125" style="9" bestFit="1" customWidth="1"/>
    <col min="3" max="3" width="11.42578125" style="9" bestFit="1" customWidth="1"/>
    <col min="4" max="6" width="8.5703125" style="9" bestFit="1" customWidth="1"/>
    <col min="7" max="7" width="11" style="9" bestFit="1" customWidth="1"/>
    <col min="8" max="8" width="11" style="9" customWidth="1"/>
    <col min="9" max="9" width="11" style="9" bestFit="1" customWidth="1"/>
    <col min="10" max="10" width="11" style="9" customWidth="1"/>
    <col min="11" max="16" width="8.5703125" style="9" bestFit="1" customWidth="1"/>
    <col min="17" max="18" width="11" style="9" customWidth="1"/>
    <col min="19" max="21" width="8.5703125" style="9" bestFit="1" customWidth="1"/>
    <col min="22" max="24" width="9" style="9" bestFit="1" customWidth="1"/>
    <col min="25" max="25" width="11.42578125" style="9" bestFit="1" customWidth="1"/>
    <col min="26" max="26" width="11.42578125" style="9" customWidth="1"/>
    <col min="27" max="30" width="8.5703125" style="9" bestFit="1" customWidth="1"/>
    <col min="31" max="31" width="11.42578125" style="9" bestFit="1" customWidth="1"/>
    <col min="32" max="32" width="11.42578125" style="9" customWidth="1"/>
    <col min="33" max="33" width="9" style="9" bestFit="1" customWidth="1"/>
    <col min="34" max="39" width="8.5703125" style="9" bestFit="1" customWidth="1"/>
    <col min="40" max="40" width="11" style="9" customWidth="1"/>
    <col min="41" max="42" width="11.42578125" style="9" customWidth="1"/>
    <col min="43" max="47" width="8.5703125" style="9" bestFit="1" customWidth="1"/>
    <col min="48" max="49" width="11" style="9" bestFit="1" customWidth="1"/>
    <col min="50" max="50" width="11" style="9" customWidth="1"/>
    <col min="51" max="52" width="11.42578125" style="9" customWidth="1"/>
    <col min="53" max="53" width="11.42578125" style="9" bestFit="1" customWidth="1"/>
    <col min="54" max="54" width="9.5703125" style="9" bestFit="1" customWidth="1"/>
    <col min="55" max="16384" width="9.140625" style="9"/>
  </cols>
  <sheetData>
    <row r="1" spans="1:53" x14ac:dyDescent="0.3">
      <c r="A1" s="1393" t="s">
        <v>108</v>
      </c>
      <c r="B1" s="1393"/>
      <c r="C1" s="1393"/>
      <c r="D1" s="1393"/>
      <c r="E1" s="1393"/>
      <c r="F1" s="1393"/>
      <c r="G1" s="1393"/>
      <c r="H1" s="1393"/>
      <c r="I1" s="1393"/>
      <c r="J1" s="1393"/>
      <c r="K1" s="1393"/>
      <c r="L1" s="1393"/>
      <c r="M1" s="1393"/>
      <c r="N1" s="1393"/>
      <c r="O1" s="1393"/>
      <c r="P1" s="1393"/>
      <c r="Q1" s="1393"/>
      <c r="R1" s="1393"/>
      <c r="S1" s="1393"/>
      <c r="T1" s="1393"/>
      <c r="U1" s="1393"/>
      <c r="V1" s="1393"/>
      <c r="W1" s="1393"/>
      <c r="X1" s="1393"/>
      <c r="Y1" s="1393"/>
      <c r="Z1" s="1393"/>
      <c r="AA1" s="1393"/>
      <c r="AB1" s="1393"/>
      <c r="AC1" s="1393"/>
      <c r="AD1" s="1393"/>
      <c r="AE1" s="1393"/>
      <c r="AF1" s="1393"/>
      <c r="AG1" s="1393"/>
      <c r="AH1" s="1393"/>
      <c r="AI1" s="1393"/>
      <c r="AJ1" s="1393"/>
      <c r="AK1" s="1393"/>
      <c r="AL1" s="1393"/>
      <c r="AM1" s="1393"/>
      <c r="AN1" s="1393"/>
      <c r="AO1" s="1393"/>
      <c r="AP1" s="1393"/>
      <c r="AQ1" s="1393"/>
      <c r="AR1" s="1393"/>
      <c r="AS1" s="1393"/>
      <c r="AT1" s="1393"/>
      <c r="AU1" s="1393"/>
      <c r="AV1" s="1393"/>
      <c r="AW1" s="1393"/>
      <c r="AX1" s="1393"/>
      <c r="AY1" s="1393"/>
      <c r="AZ1" s="1393"/>
      <c r="BA1" s="1393"/>
    </row>
    <row r="2" spans="1:53" ht="15" thickBot="1" x14ac:dyDescent="0.35">
      <c r="A2" s="1394" t="s">
        <v>444</v>
      </c>
      <c r="B2" s="1394"/>
      <c r="C2" s="1394"/>
      <c r="D2" s="1394"/>
      <c r="E2" s="1394"/>
      <c r="F2" s="1394"/>
      <c r="G2" s="1394"/>
      <c r="H2" s="1394"/>
      <c r="I2" s="1394"/>
      <c r="J2" s="1394"/>
      <c r="K2" s="1394"/>
      <c r="L2" s="1394"/>
      <c r="M2" s="1394"/>
      <c r="N2" s="1394"/>
      <c r="O2" s="1394"/>
      <c r="P2" s="1394"/>
      <c r="Q2" s="1394"/>
      <c r="R2" s="1394"/>
      <c r="S2" s="1394"/>
      <c r="T2" s="1394"/>
      <c r="U2" s="1394"/>
      <c r="V2" s="1394"/>
      <c r="W2" s="1394"/>
      <c r="X2" s="1394"/>
      <c r="Y2" s="1394"/>
      <c r="Z2" s="1394"/>
      <c r="AA2" s="1394"/>
      <c r="AB2" s="1394"/>
      <c r="AC2" s="1394"/>
      <c r="AD2" s="1394"/>
      <c r="AE2" s="1394"/>
      <c r="AF2" s="1394"/>
      <c r="AG2" s="1394"/>
      <c r="AH2" s="1394"/>
      <c r="AI2" s="1394"/>
      <c r="AJ2" s="1394"/>
      <c r="AK2" s="1394"/>
      <c r="AL2" s="1394"/>
      <c r="AM2" s="1394"/>
      <c r="AN2" s="1394"/>
      <c r="AO2" s="1394"/>
      <c r="AP2" s="1394"/>
      <c r="AQ2" s="1394"/>
      <c r="AR2" s="1394"/>
      <c r="AS2" s="1394"/>
      <c r="AT2" s="1394"/>
      <c r="AU2" s="1394"/>
      <c r="AV2" s="1394"/>
      <c r="AW2" s="1394"/>
      <c r="AX2" s="1394"/>
      <c r="AY2" s="1394"/>
      <c r="AZ2" s="1394"/>
      <c r="BA2" s="1394"/>
    </row>
    <row r="3" spans="1:53" ht="52.5" customHeight="1" thickBot="1" x14ac:dyDescent="0.35">
      <c r="A3" s="500" t="s">
        <v>109</v>
      </c>
      <c r="B3" s="1312" t="s">
        <v>158</v>
      </c>
      <c r="C3" s="1313"/>
      <c r="D3" s="1320" t="s">
        <v>159</v>
      </c>
      <c r="E3" s="1321"/>
      <c r="F3" s="1320" t="s">
        <v>160</v>
      </c>
      <c r="G3" s="1321"/>
      <c r="H3" s="1320" t="s">
        <v>161</v>
      </c>
      <c r="I3" s="1321"/>
      <c r="J3" s="1320" t="s">
        <v>162</v>
      </c>
      <c r="K3" s="1321"/>
      <c r="L3" s="1320" t="s">
        <v>163</v>
      </c>
      <c r="M3" s="1321"/>
      <c r="N3" s="1320" t="s">
        <v>312</v>
      </c>
      <c r="O3" s="1321"/>
      <c r="P3" s="1320" t="s">
        <v>164</v>
      </c>
      <c r="Q3" s="1321"/>
      <c r="R3" s="1320" t="s">
        <v>165</v>
      </c>
      <c r="S3" s="1321"/>
      <c r="T3" s="1320" t="s">
        <v>166</v>
      </c>
      <c r="U3" s="1321"/>
      <c r="V3" s="1320" t="s">
        <v>167</v>
      </c>
      <c r="W3" s="1321"/>
      <c r="X3" s="1320" t="s">
        <v>168</v>
      </c>
      <c r="Y3" s="1321"/>
      <c r="Z3" s="1320" t="s">
        <v>383</v>
      </c>
      <c r="AA3" s="1321"/>
      <c r="AB3" s="1320" t="s">
        <v>169</v>
      </c>
      <c r="AC3" s="1321"/>
      <c r="AD3" s="1395" t="s">
        <v>170</v>
      </c>
      <c r="AE3" s="1396"/>
      <c r="AF3" s="1320" t="s">
        <v>171</v>
      </c>
      <c r="AG3" s="1321"/>
      <c r="AH3" s="1320" t="s">
        <v>172</v>
      </c>
      <c r="AI3" s="1321"/>
      <c r="AJ3" s="1320" t="s">
        <v>173</v>
      </c>
      <c r="AK3" s="1321"/>
      <c r="AL3" s="1395" t="s">
        <v>174</v>
      </c>
      <c r="AM3" s="1396"/>
      <c r="AN3" s="1320" t="s">
        <v>175</v>
      </c>
      <c r="AO3" s="1321"/>
      <c r="AP3" s="1320" t="s">
        <v>176</v>
      </c>
      <c r="AQ3" s="1321"/>
      <c r="AR3" s="1320" t="s">
        <v>177</v>
      </c>
      <c r="AS3" s="1321"/>
      <c r="AT3" s="1320" t="s">
        <v>178</v>
      </c>
      <c r="AU3" s="1322"/>
      <c r="AV3" s="1323" t="s">
        <v>1</v>
      </c>
      <c r="AW3" s="1324"/>
      <c r="AX3" s="1395" t="s">
        <v>179</v>
      </c>
      <c r="AY3" s="1396"/>
      <c r="AZ3" s="1397" t="s">
        <v>2</v>
      </c>
      <c r="BA3" s="1398"/>
    </row>
    <row r="4" spans="1:53" s="505" customFormat="1" ht="54.75" thickBot="1" x14ac:dyDescent="0.3">
      <c r="A4" s="501"/>
      <c r="B4" s="1053" t="s">
        <v>387</v>
      </c>
      <c r="C4" s="502" t="s">
        <v>429</v>
      </c>
      <c r="D4" s="502" t="s">
        <v>387</v>
      </c>
      <c r="E4" s="502" t="s">
        <v>429</v>
      </c>
      <c r="F4" s="502" t="s">
        <v>387</v>
      </c>
      <c r="G4" s="502" t="s">
        <v>429</v>
      </c>
      <c r="H4" s="502" t="s">
        <v>387</v>
      </c>
      <c r="I4" s="502" t="s">
        <v>429</v>
      </c>
      <c r="J4" s="502" t="s">
        <v>387</v>
      </c>
      <c r="K4" s="502" t="s">
        <v>429</v>
      </c>
      <c r="L4" s="502" t="s">
        <v>387</v>
      </c>
      <c r="M4" s="502" t="s">
        <v>429</v>
      </c>
      <c r="N4" s="502" t="s">
        <v>387</v>
      </c>
      <c r="O4" s="502" t="s">
        <v>429</v>
      </c>
      <c r="P4" s="502" t="s">
        <v>387</v>
      </c>
      <c r="Q4" s="502" t="s">
        <v>429</v>
      </c>
      <c r="R4" s="502" t="s">
        <v>387</v>
      </c>
      <c r="S4" s="502" t="s">
        <v>429</v>
      </c>
      <c r="T4" s="502" t="s">
        <v>387</v>
      </c>
      <c r="U4" s="502" t="s">
        <v>429</v>
      </c>
      <c r="V4" s="502" t="s">
        <v>387</v>
      </c>
      <c r="W4" s="502" t="s">
        <v>429</v>
      </c>
      <c r="X4" s="502" t="s">
        <v>387</v>
      </c>
      <c r="Y4" s="502" t="s">
        <v>429</v>
      </c>
      <c r="Z4" s="502" t="s">
        <v>387</v>
      </c>
      <c r="AA4" s="502" t="s">
        <v>429</v>
      </c>
      <c r="AB4" s="502" t="s">
        <v>387</v>
      </c>
      <c r="AC4" s="502" t="s">
        <v>429</v>
      </c>
      <c r="AD4" s="502" t="s">
        <v>387</v>
      </c>
      <c r="AE4" s="502" t="s">
        <v>429</v>
      </c>
      <c r="AF4" s="502" t="s">
        <v>387</v>
      </c>
      <c r="AG4" s="502" t="s">
        <v>429</v>
      </c>
      <c r="AH4" s="502" t="s">
        <v>387</v>
      </c>
      <c r="AI4" s="502" t="s">
        <v>429</v>
      </c>
      <c r="AJ4" s="502" t="s">
        <v>387</v>
      </c>
      <c r="AK4" s="502" t="s">
        <v>429</v>
      </c>
      <c r="AL4" s="502" t="s">
        <v>387</v>
      </c>
      <c r="AM4" s="502" t="s">
        <v>429</v>
      </c>
      <c r="AN4" s="502" t="s">
        <v>387</v>
      </c>
      <c r="AO4" s="502" t="s">
        <v>429</v>
      </c>
      <c r="AP4" s="502" t="s">
        <v>387</v>
      </c>
      <c r="AQ4" s="502" t="s">
        <v>429</v>
      </c>
      <c r="AR4" s="502" t="s">
        <v>387</v>
      </c>
      <c r="AS4" s="502" t="s">
        <v>429</v>
      </c>
      <c r="AT4" s="502" t="s">
        <v>387</v>
      </c>
      <c r="AU4" s="502" t="s">
        <v>429</v>
      </c>
      <c r="AV4" s="502" t="s">
        <v>387</v>
      </c>
      <c r="AW4" s="502" t="s">
        <v>429</v>
      </c>
      <c r="AX4" s="502" t="s">
        <v>387</v>
      </c>
      <c r="AY4" s="502" t="s">
        <v>429</v>
      </c>
      <c r="AZ4" s="502" t="s">
        <v>387</v>
      </c>
      <c r="BA4" s="504" t="s">
        <v>429</v>
      </c>
    </row>
    <row r="5" spans="1:53" s="33" customFormat="1" x14ac:dyDescent="0.3">
      <c r="A5" s="319" t="s">
        <v>110</v>
      </c>
      <c r="B5" s="1055">
        <v>5047886</v>
      </c>
      <c r="C5" s="1050">
        <v>5842766</v>
      </c>
      <c r="D5" s="330">
        <v>309190</v>
      </c>
      <c r="E5" s="323">
        <v>362805</v>
      </c>
      <c r="F5" s="323">
        <v>1047719</v>
      </c>
      <c r="G5" s="323">
        <v>1134174</v>
      </c>
      <c r="H5" s="323">
        <v>6177043</v>
      </c>
      <c r="I5" s="323">
        <v>7272960</v>
      </c>
      <c r="J5" s="323">
        <v>925741.29</v>
      </c>
      <c r="K5" s="323">
        <v>1103959</v>
      </c>
      <c r="L5" s="323">
        <v>2052208</v>
      </c>
      <c r="M5" s="323">
        <v>2523195</v>
      </c>
      <c r="N5" s="323">
        <v>480935.95</v>
      </c>
      <c r="O5" s="323">
        <v>549107</v>
      </c>
      <c r="P5" s="323">
        <v>403499</v>
      </c>
      <c r="Q5" s="323">
        <v>523065</v>
      </c>
      <c r="R5" s="323">
        <v>1720345</v>
      </c>
      <c r="S5" s="323">
        <v>1926564</v>
      </c>
      <c r="T5" s="323">
        <v>520050</v>
      </c>
      <c r="U5" s="323">
        <v>606934</v>
      </c>
      <c r="V5" s="323">
        <v>16094269</v>
      </c>
      <c r="W5" s="323">
        <v>18576878</v>
      </c>
      <c r="X5" s="323">
        <v>20267525.190000001</v>
      </c>
      <c r="Y5" s="323">
        <v>23014517</v>
      </c>
      <c r="Z5" s="323">
        <v>1143011</v>
      </c>
      <c r="AA5" s="327">
        <v>1320510</v>
      </c>
      <c r="AB5" s="327">
        <v>1662282</v>
      </c>
      <c r="AC5" s="323">
        <v>1861203</v>
      </c>
      <c r="AD5" s="323">
        <v>4449863</v>
      </c>
      <c r="AE5" s="323">
        <v>5059741</v>
      </c>
      <c r="AF5" s="323">
        <v>8773575</v>
      </c>
      <c r="AG5" s="323">
        <v>10429082</v>
      </c>
      <c r="AH5" s="323">
        <v>2702262</v>
      </c>
      <c r="AI5" s="323">
        <v>3250391</v>
      </c>
      <c r="AJ5" s="323">
        <v>2331673</v>
      </c>
      <c r="AK5" s="323">
        <v>2635806</v>
      </c>
      <c r="AL5" s="323"/>
      <c r="AM5" s="320"/>
      <c r="AN5" s="1056">
        <v>20931954.550000001</v>
      </c>
      <c r="AO5" s="319">
        <v>25323411</v>
      </c>
      <c r="AP5" s="319">
        <v>583318.53</v>
      </c>
      <c r="AQ5" s="315">
        <v>723625</v>
      </c>
      <c r="AR5" s="315">
        <v>1171097</v>
      </c>
      <c r="AS5" s="313">
        <v>1439962</v>
      </c>
      <c r="AT5" s="313">
        <v>4370148</v>
      </c>
      <c r="AU5" s="323">
        <v>5446142</v>
      </c>
      <c r="AV5" s="307">
        <f t="shared" ref="AV5:AW15" si="0">SUM(B5+D5+F5+H5+J5+L5+N5+P5+R5+T5+V5+X5+Z5+AB5+AD5+AF5+AH5+AJ5+AL5+AN5+AP5+AR5+AT5)</f>
        <v>103165595.50999999</v>
      </c>
      <c r="AW5" s="52">
        <f t="shared" si="0"/>
        <v>120926797</v>
      </c>
      <c r="AX5" s="52">
        <v>345851038</v>
      </c>
      <c r="AY5" s="311">
        <v>375656631</v>
      </c>
      <c r="AZ5" s="313">
        <f t="shared" ref="AZ5:BA15" si="1">AV5+AX5</f>
        <v>449016633.50999999</v>
      </c>
      <c r="BA5" s="334">
        <f t="shared" si="1"/>
        <v>496583428</v>
      </c>
    </row>
    <row r="6" spans="1:53" s="33" customFormat="1" x14ac:dyDescent="0.3">
      <c r="A6" s="319" t="s">
        <v>111</v>
      </c>
      <c r="B6" s="447"/>
      <c r="C6" s="194"/>
      <c r="D6" s="331"/>
      <c r="E6" s="317"/>
      <c r="F6" s="317"/>
      <c r="G6" s="317"/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28"/>
      <c r="AB6" s="328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21"/>
      <c r="AN6" s="321"/>
      <c r="AO6" s="317"/>
      <c r="AP6" s="317"/>
      <c r="AQ6" s="316"/>
      <c r="AR6" s="316"/>
      <c r="AS6" s="261"/>
      <c r="AT6" s="261"/>
      <c r="AU6" s="317"/>
      <c r="AV6" s="307">
        <f t="shared" si="0"/>
        <v>0</v>
      </c>
      <c r="AW6" s="309">
        <f t="shared" si="0"/>
        <v>0</v>
      </c>
      <c r="AX6" s="309"/>
      <c r="AY6" s="300"/>
      <c r="AZ6" s="313">
        <f t="shared" si="1"/>
        <v>0</v>
      </c>
      <c r="BA6" s="308">
        <f t="shared" si="1"/>
        <v>0</v>
      </c>
    </row>
    <row r="7" spans="1:53" s="33" customFormat="1" x14ac:dyDescent="0.3">
      <c r="A7" s="319" t="s">
        <v>112</v>
      </c>
      <c r="B7" s="447">
        <v>5045368</v>
      </c>
      <c r="C7" s="193">
        <v>5840035</v>
      </c>
      <c r="D7" s="332">
        <v>283953</v>
      </c>
      <c r="E7" s="324">
        <v>329503</v>
      </c>
      <c r="F7" s="324">
        <v>1010871</v>
      </c>
      <c r="G7" s="324">
        <v>1106834</v>
      </c>
      <c r="H7" s="324">
        <v>6082533</v>
      </c>
      <c r="I7" s="324">
        <v>7175457</v>
      </c>
      <c r="J7" s="324">
        <v>878609.08</v>
      </c>
      <c r="K7" s="324">
        <v>1070517</v>
      </c>
      <c r="L7" s="324">
        <v>1998659</v>
      </c>
      <c r="M7" s="324">
        <v>2461780</v>
      </c>
      <c r="N7" s="324">
        <v>473170.76</v>
      </c>
      <c r="O7" s="324">
        <v>538548</v>
      </c>
      <c r="P7" s="324">
        <v>400387</v>
      </c>
      <c r="Q7" s="324">
        <v>520749</v>
      </c>
      <c r="R7" s="324">
        <v>1680951</v>
      </c>
      <c r="S7" s="324">
        <v>1892080</v>
      </c>
      <c r="T7" s="324">
        <v>493410</v>
      </c>
      <c r="U7" s="324">
        <v>577876</v>
      </c>
      <c r="V7" s="324">
        <v>16028252</v>
      </c>
      <c r="W7" s="324">
        <v>18496405</v>
      </c>
      <c r="X7" s="324">
        <v>19876270.23</v>
      </c>
      <c r="Y7" s="324">
        <v>22454845</v>
      </c>
      <c r="Z7" s="324">
        <v>1112341</v>
      </c>
      <c r="AA7" s="328">
        <v>1288298</v>
      </c>
      <c r="AB7" s="328">
        <v>1612136</v>
      </c>
      <c r="AC7" s="324">
        <v>1800199</v>
      </c>
      <c r="AD7" s="324">
        <v>4170672</v>
      </c>
      <c r="AE7" s="326">
        <v>5036145</v>
      </c>
      <c r="AF7" s="326">
        <v>8426725</v>
      </c>
      <c r="AG7" s="324">
        <v>10072538</v>
      </c>
      <c r="AH7" s="324">
        <v>2640785</v>
      </c>
      <c r="AI7" s="324">
        <v>3169810</v>
      </c>
      <c r="AJ7" s="324">
        <v>2295958</v>
      </c>
      <c r="AK7" s="324">
        <v>2596681</v>
      </c>
      <c r="AL7" s="324"/>
      <c r="AM7" s="321"/>
      <c r="AN7" s="1056">
        <v>20862249.359999999</v>
      </c>
      <c r="AO7" s="319">
        <v>25238435</v>
      </c>
      <c r="AP7" s="319">
        <v>579847.82999999996</v>
      </c>
      <c r="AQ7" s="316">
        <v>721385</v>
      </c>
      <c r="AR7" s="316">
        <v>1118774</v>
      </c>
      <c r="AS7" s="261">
        <v>1387748</v>
      </c>
      <c r="AT7" s="261">
        <v>4278543</v>
      </c>
      <c r="AU7" s="324">
        <v>5340416</v>
      </c>
      <c r="AV7" s="307">
        <f t="shared" si="0"/>
        <v>101350465.26000001</v>
      </c>
      <c r="AW7" s="309">
        <f t="shared" si="0"/>
        <v>119116284</v>
      </c>
      <c r="AX7" s="309">
        <v>237740004</v>
      </c>
      <c r="AY7" s="309">
        <v>355895080</v>
      </c>
      <c r="AZ7" s="313">
        <f t="shared" si="1"/>
        <v>339090469.25999999</v>
      </c>
      <c r="BA7" s="308">
        <f t="shared" si="1"/>
        <v>475011364</v>
      </c>
    </row>
    <row r="8" spans="1:53" s="33" customFormat="1" x14ac:dyDescent="0.3">
      <c r="A8" s="319" t="s">
        <v>113</v>
      </c>
      <c r="B8" s="447"/>
      <c r="C8" s="194"/>
      <c r="D8" s="331"/>
      <c r="E8" s="317"/>
      <c r="F8" s="317">
        <v>30623</v>
      </c>
      <c r="G8" s="317">
        <v>21024</v>
      </c>
      <c r="H8" s="317"/>
      <c r="I8" s="317"/>
      <c r="J8" s="317">
        <v>28197.24</v>
      </c>
      <c r="K8" s="317">
        <v>19557</v>
      </c>
      <c r="L8" s="317"/>
      <c r="M8" s="317"/>
      <c r="N8" s="317"/>
      <c r="O8" s="317"/>
      <c r="P8" s="317"/>
      <c r="Q8" s="317"/>
      <c r="R8" s="317"/>
      <c r="S8" s="317"/>
      <c r="T8" s="317"/>
      <c r="U8" s="317"/>
      <c r="V8" s="317"/>
      <c r="W8" s="317"/>
      <c r="X8" s="317">
        <v>258724.79</v>
      </c>
      <c r="Y8" s="317">
        <v>427347</v>
      </c>
      <c r="Z8" s="317"/>
      <c r="AA8" s="317"/>
      <c r="AB8" s="317">
        <v>38799</v>
      </c>
      <c r="AC8" s="317">
        <v>33580</v>
      </c>
      <c r="AD8" s="317">
        <v>251042</v>
      </c>
      <c r="AE8" s="317"/>
      <c r="AF8" s="317"/>
      <c r="AG8" s="317"/>
      <c r="AH8" s="317"/>
      <c r="AI8" s="317"/>
      <c r="AJ8" s="317"/>
      <c r="AK8" s="317"/>
      <c r="AL8" s="317"/>
      <c r="AM8" s="321"/>
      <c r="AN8" s="321"/>
      <c r="AO8" s="251"/>
      <c r="AP8" s="251"/>
      <c r="AQ8" s="316"/>
      <c r="AR8" s="316">
        <v>29375</v>
      </c>
      <c r="AS8" s="261">
        <v>23468</v>
      </c>
      <c r="AT8" s="261"/>
      <c r="AU8" s="317"/>
      <c r="AV8" s="307">
        <f t="shared" si="0"/>
        <v>636761.03</v>
      </c>
      <c r="AW8" s="309">
        <f t="shared" si="0"/>
        <v>524976</v>
      </c>
      <c r="AX8" s="309">
        <v>16394</v>
      </c>
      <c r="AY8" s="300">
        <v>24057</v>
      </c>
      <c r="AZ8" s="313">
        <f t="shared" si="1"/>
        <v>653155.03</v>
      </c>
      <c r="BA8" s="308">
        <f t="shared" si="1"/>
        <v>549033</v>
      </c>
    </row>
    <row r="9" spans="1:53" s="33" customFormat="1" x14ac:dyDescent="0.3">
      <c r="A9" s="1049" t="s">
        <v>181</v>
      </c>
      <c r="B9" s="446">
        <v>2518</v>
      </c>
      <c r="C9" s="194">
        <v>2731</v>
      </c>
      <c r="D9" s="331">
        <v>25237</v>
      </c>
      <c r="E9" s="317">
        <v>33302</v>
      </c>
      <c r="F9" s="317">
        <v>6225</v>
      </c>
      <c r="G9" s="317">
        <v>6316</v>
      </c>
      <c r="H9" s="317">
        <v>94510</v>
      </c>
      <c r="I9" s="317">
        <v>97503</v>
      </c>
      <c r="J9" s="317">
        <v>18934.97</v>
      </c>
      <c r="K9" s="317">
        <v>13885</v>
      </c>
      <c r="L9" s="317">
        <v>53549</v>
      </c>
      <c r="M9" s="317">
        <v>61416</v>
      </c>
      <c r="N9" s="317">
        <v>7765.19</v>
      </c>
      <c r="O9" s="317">
        <v>101560</v>
      </c>
      <c r="P9" s="317">
        <v>3111</v>
      </c>
      <c r="Q9" s="317">
        <v>2316</v>
      </c>
      <c r="R9" s="317">
        <v>39394</v>
      </c>
      <c r="S9" s="317">
        <v>34485</v>
      </c>
      <c r="T9" s="317"/>
      <c r="U9" s="317"/>
      <c r="V9" s="317">
        <v>66018</v>
      </c>
      <c r="W9" s="317">
        <v>80473</v>
      </c>
      <c r="X9" s="317">
        <v>132330.17000000001</v>
      </c>
      <c r="Y9" s="317">
        <v>132325</v>
      </c>
      <c r="Z9" s="317">
        <v>30670</v>
      </c>
      <c r="AA9" s="317">
        <v>32211</v>
      </c>
      <c r="AB9" s="317">
        <v>11347</v>
      </c>
      <c r="AC9" s="317">
        <v>27424</v>
      </c>
      <c r="AD9" s="317">
        <v>28150</v>
      </c>
      <c r="AE9" s="317">
        <v>23596</v>
      </c>
      <c r="AF9" s="317">
        <v>346849</v>
      </c>
      <c r="AG9" s="317">
        <v>256545</v>
      </c>
      <c r="AH9" s="317">
        <v>61477</v>
      </c>
      <c r="AI9" s="317">
        <v>80581</v>
      </c>
      <c r="AJ9" s="317">
        <v>35715</v>
      </c>
      <c r="AK9" s="317">
        <v>39124</v>
      </c>
      <c r="AL9" s="317"/>
      <c r="AM9" s="321"/>
      <c r="AN9" s="1056">
        <v>69705.19</v>
      </c>
      <c r="AO9" s="319">
        <v>84977</v>
      </c>
      <c r="AP9" s="319">
        <v>3470.7</v>
      </c>
      <c r="AQ9" s="316">
        <v>2240</v>
      </c>
      <c r="AR9" s="316">
        <v>22949</v>
      </c>
      <c r="AS9" s="261">
        <v>28746</v>
      </c>
      <c r="AT9" s="261">
        <v>91605</v>
      </c>
      <c r="AU9" s="317">
        <v>105726</v>
      </c>
      <c r="AV9" s="307">
        <f t="shared" si="0"/>
        <v>1151530.22</v>
      </c>
      <c r="AW9" s="309">
        <f t="shared" si="0"/>
        <v>1247482</v>
      </c>
      <c r="AX9" s="309">
        <v>18094640</v>
      </c>
      <c r="AY9" s="300">
        <v>19737495</v>
      </c>
      <c r="AZ9" s="313">
        <f t="shared" si="1"/>
        <v>19246170.219999999</v>
      </c>
      <c r="BA9" s="308">
        <f t="shared" si="1"/>
        <v>20984977</v>
      </c>
    </row>
    <row r="10" spans="1:53" s="33" customFormat="1" x14ac:dyDescent="0.3">
      <c r="A10" s="319" t="s">
        <v>114</v>
      </c>
      <c r="B10" s="447">
        <v>245366</v>
      </c>
      <c r="C10" s="194">
        <v>287766</v>
      </c>
      <c r="D10" s="331">
        <v>12782</v>
      </c>
      <c r="E10" s="317">
        <v>17091</v>
      </c>
      <c r="F10" s="317">
        <v>61771</v>
      </c>
      <c r="G10" s="317">
        <v>53436</v>
      </c>
      <c r="H10" s="317">
        <v>1025478</v>
      </c>
      <c r="I10" s="317">
        <v>1044485</v>
      </c>
      <c r="J10" s="317">
        <v>62352.23</v>
      </c>
      <c r="K10" s="317">
        <v>72567</v>
      </c>
      <c r="L10" s="317">
        <v>126034</v>
      </c>
      <c r="M10" s="317">
        <v>127966</v>
      </c>
      <c r="N10" s="317">
        <v>79642.789999999994</v>
      </c>
      <c r="O10" s="317">
        <v>78876</v>
      </c>
      <c r="P10" s="317">
        <v>30437</v>
      </c>
      <c r="Q10" s="317">
        <v>36300</v>
      </c>
      <c r="R10" s="317">
        <v>110783</v>
      </c>
      <c r="S10" s="317">
        <v>118723</v>
      </c>
      <c r="T10" s="317"/>
      <c r="U10" s="317"/>
      <c r="V10" s="317">
        <v>877102</v>
      </c>
      <c r="W10" s="317">
        <v>896055</v>
      </c>
      <c r="X10" s="317">
        <v>1036616.03</v>
      </c>
      <c r="Y10" s="317">
        <v>1065939</v>
      </c>
      <c r="Z10" s="317">
        <v>79859</v>
      </c>
      <c r="AA10" s="328">
        <v>81962</v>
      </c>
      <c r="AB10" s="328">
        <v>96963</v>
      </c>
      <c r="AC10" s="317">
        <v>112028</v>
      </c>
      <c r="AD10" s="317">
        <v>404729</v>
      </c>
      <c r="AE10" s="317">
        <v>438920</v>
      </c>
      <c r="AF10" s="317">
        <v>535745</v>
      </c>
      <c r="AG10" s="317">
        <v>697098</v>
      </c>
      <c r="AH10" s="317">
        <v>140787</v>
      </c>
      <c r="AI10" s="317">
        <v>175849</v>
      </c>
      <c r="AJ10" s="317">
        <v>132858</v>
      </c>
      <c r="AK10" s="317">
        <v>139837</v>
      </c>
      <c r="AL10" s="317"/>
      <c r="AM10" s="321"/>
      <c r="AN10" s="1056">
        <v>998088.08</v>
      </c>
      <c r="AO10" s="319">
        <v>1132293</v>
      </c>
      <c r="AP10" s="319">
        <v>49015.28</v>
      </c>
      <c r="AQ10" s="316">
        <v>66824</v>
      </c>
      <c r="AR10" s="316">
        <v>69672</v>
      </c>
      <c r="AS10" s="261">
        <v>83485</v>
      </c>
      <c r="AT10" s="261">
        <v>216074</v>
      </c>
      <c r="AU10" s="317">
        <v>275215</v>
      </c>
      <c r="AV10" s="307">
        <f t="shared" si="0"/>
        <v>6392154.4100000001</v>
      </c>
      <c r="AW10" s="309">
        <f t="shared" si="0"/>
        <v>7002715</v>
      </c>
      <c r="AX10" s="309">
        <v>569392</v>
      </c>
      <c r="AY10" s="283">
        <v>816774</v>
      </c>
      <c r="AZ10" s="313">
        <f t="shared" si="1"/>
        <v>6961546.4100000001</v>
      </c>
      <c r="BA10" s="308">
        <f t="shared" si="1"/>
        <v>7819489</v>
      </c>
    </row>
    <row r="11" spans="1:53" s="33" customFormat="1" x14ac:dyDescent="0.3">
      <c r="A11" s="319" t="s">
        <v>111</v>
      </c>
      <c r="B11" s="447"/>
      <c r="C11" s="194"/>
      <c r="D11" s="331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17"/>
      <c r="X11" s="317"/>
      <c r="Y11" s="317"/>
      <c r="Z11" s="317"/>
      <c r="AA11" s="328"/>
      <c r="AB11" s="328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21"/>
      <c r="AN11" s="321"/>
      <c r="AO11" s="251"/>
      <c r="AP11" s="251"/>
      <c r="AQ11" s="316"/>
      <c r="AR11" s="316"/>
      <c r="AS11" s="261"/>
      <c r="AT11" s="261"/>
      <c r="AU11" s="317"/>
      <c r="AV11" s="307">
        <f t="shared" si="0"/>
        <v>0</v>
      </c>
      <c r="AW11" s="309">
        <f t="shared" si="0"/>
        <v>0</v>
      </c>
      <c r="AX11" s="309"/>
      <c r="AY11" s="283"/>
      <c r="AZ11" s="313">
        <f t="shared" si="1"/>
        <v>0</v>
      </c>
      <c r="BA11" s="308">
        <f t="shared" si="1"/>
        <v>0</v>
      </c>
    </row>
    <row r="12" spans="1:53" s="33" customFormat="1" x14ac:dyDescent="0.3">
      <c r="A12" s="319" t="s">
        <v>115</v>
      </c>
      <c r="B12" s="447"/>
      <c r="C12" s="194"/>
      <c r="D12" s="331"/>
      <c r="E12" s="317"/>
      <c r="F12" s="317">
        <v>298</v>
      </c>
      <c r="G12" s="317">
        <v>480</v>
      </c>
      <c r="H12" s="317">
        <v>30270</v>
      </c>
      <c r="I12" s="317">
        <v>29717</v>
      </c>
      <c r="J12" s="317">
        <v>23000.46</v>
      </c>
      <c r="K12" s="317">
        <v>23152</v>
      </c>
      <c r="L12" s="317"/>
      <c r="M12" s="317"/>
      <c r="N12" s="317"/>
      <c r="O12" s="317"/>
      <c r="P12" s="317"/>
      <c r="Q12" s="317"/>
      <c r="R12" s="317"/>
      <c r="S12" s="317"/>
      <c r="T12" s="317">
        <v>26639</v>
      </c>
      <c r="U12" s="317">
        <v>29057</v>
      </c>
      <c r="V12" s="317"/>
      <c r="W12" s="317"/>
      <c r="X12" s="317">
        <v>114194.74</v>
      </c>
      <c r="Y12" s="317">
        <v>97647</v>
      </c>
      <c r="Z12" s="317"/>
      <c r="AA12" s="328"/>
      <c r="AB12" s="328">
        <v>13676</v>
      </c>
      <c r="AC12" s="317">
        <v>42881</v>
      </c>
      <c r="AD12" s="317">
        <v>229</v>
      </c>
      <c r="AE12" s="317"/>
      <c r="AF12" s="317">
        <v>295136</v>
      </c>
      <c r="AG12" s="317">
        <v>372144</v>
      </c>
      <c r="AH12" s="317"/>
      <c r="AI12" s="317"/>
      <c r="AJ12" s="282"/>
      <c r="AK12" s="282"/>
      <c r="AL12" s="282"/>
      <c r="AM12" s="321"/>
      <c r="AN12" s="321"/>
      <c r="AO12" s="251"/>
      <c r="AP12" s="251"/>
      <c r="AQ12" s="316"/>
      <c r="AR12" s="316">
        <v>104</v>
      </c>
      <c r="AS12" s="261">
        <v>338</v>
      </c>
      <c r="AT12" s="261"/>
      <c r="AU12" s="317"/>
      <c r="AV12" s="307">
        <f t="shared" si="0"/>
        <v>503547.2</v>
      </c>
      <c r="AW12" s="309">
        <f>SUM(C12+E12+G12+I12+K12+M12+O12+Q12+S12+U12+W12+Y12+AA12+AC12+AE12+AG12+AI12+AK13+AM12+AO12+AQ12+AS12+AU12)</f>
        <v>735253</v>
      </c>
      <c r="AX12" s="309"/>
      <c r="AY12" s="283"/>
      <c r="AZ12" s="313">
        <f t="shared" si="1"/>
        <v>503547.2</v>
      </c>
      <c r="BA12" s="308">
        <f t="shared" si="1"/>
        <v>735253</v>
      </c>
    </row>
    <row r="13" spans="1:53" s="33" customFormat="1" x14ac:dyDescent="0.3">
      <c r="A13" s="1049" t="s">
        <v>182</v>
      </c>
      <c r="B13" s="446">
        <v>245366</v>
      </c>
      <c r="C13" s="194">
        <v>287766</v>
      </c>
      <c r="D13" s="331">
        <v>12782</v>
      </c>
      <c r="E13" s="317">
        <v>17091</v>
      </c>
      <c r="F13" s="317">
        <v>61473</v>
      </c>
      <c r="G13" s="317">
        <v>52272</v>
      </c>
      <c r="H13" s="317">
        <v>995208</v>
      </c>
      <c r="I13" s="317">
        <v>1014768</v>
      </c>
      <c r="J13" s="317">
        <v>39351.769999999997</v>
      </c>
      <c r="K13" s="317">
        <v>49415</v>
      </c>
      <c r="L13" s="317">
        <v>126034</v>
      </c>
      <c r="M13" s="317">
        <v>127966</v>
      </c>
      <c r="N13" s="317">
        <v>79642.789999999994</v>
      </c>
      <c r="O13" s="317">
        <v>78876</v>
      </c>
      <c r="P13" s="317">
        <v>30437</v>
      </c>
      <c r="Q13" s="317">
        <v>36300</v>
      </c>
      <c r="R13" s="317">
        <v>110783</v>
      </c>
      <c r="S13" s="317">
        <v>118723</v>
      </c>
      <c r="T13" s="317">
        <v>11792</v>
      </c>
      <c r="U13" s="317">
        <v>11452</v>
      </c>
      <c r="V13" s="317">
        <v>877102</v>
      </c>
      <c r="W13" s="317">
        <v>896055</v>
      </c>
      <c r="X13" s="317">
        <v>922421.29</v>
      </c>
      <c r="Y13" s="317">
        <v>968292</v>
      </c>
      <c r="Z13" s="317">
        <v>79859</v>
      </c>
      <c r="AA13" s="328">
        <v>81962</v>
      </c>
      <c r="AB13" s="328">
        <v>83286</v>
      </c>
      <c r="AC13" s="317">
        <v>69147</v>
      </c>
      <c r="AD13" s="317">
        <v>404499</v>
      </c>
      <c r="AE13" s="317">
        <v>438920</v>
      </c>
      <c r="AF13" s="317">
        <v>240609</v>
      </c>
      <c r="AG13" s="317">
        <v>324954</v>
      </c>
      <c r="AH13" s="317">
        <v>140787</v>
      </c>
      <c r="AI13" s="317">
        <v>175849</v>
      </c>
      <c r="AJ13" s="317">
        <v>132858</v>
      </c>
      <c r="AK13" s="317">
        <v>139837</v>
      </c>
      <c r="AL13" s="317"/>
      <c r="AM13" s="321"/>
      <c r="AN13" s="1056">
        <v>998088.08</v>
      </c>
      <c r="AO13" s="319">
        <v>1132293</v>
      </c>
      <c r="AP13" s="319">
        <v>49015.28</v>
      </c>
      <c r="AQ13" s="316">
        <v>66824</v>
      </c>
      <c r="AR13" s="316">
        <v>69568</v>
      </c>
      <c r="AS13" s="261">
        <v>83147</v>
      </c>
      <c r="AT13" s="261">
        <v>216074</v>
      </c>
      <c r="AU13" s="317">
        <v>275215</v>
      </c>
      <c r="AV13" s="307">
        <f t="shared" si="0"/>
        <v>5927036.21</v>
      </c>
      <c r="AW13" s="309">
        <f>SUM(C13+E13+G13+I13+K13+M13+O13+Q13+S13+U13+W13+Y13+AA13+AC13+AE13+AG13+AI13+AK13+AM13+AO13+AQ13+AS13+AU13)</f>
        <v>6447124</v>
      </c>
      <c r="AX13" s="309">
        <v>569392</v>
      </c>
      <c r="AY13" s="300">
        <v>816774</v>
      </c>
      <c r="AZ13" s="313">
        <f t="shared" si="1"/>
        <v>6496428.21</v>
      </c>
      <c r="BA13" s="308">
        <f t="shared" si="1"/>
        <v>7263898</v>
      </c>
    </row>
    <row r="14" spans="1:53" s="33" customFormat="1" x14ac:dyDescent="0.3">
      <c r="A14" s="319" t="s">
        <v>116</v>
      </c>
      <c r="B14" s="447">
        <v>247884</v>
      </c>
      <c r="C14" s="1051">
        <f>C9+C10</f>
        <v>290497</v>
      </c>
      <c r="D14" s="317">
        <v>38019</v>
      </c>
      <c r="E14" s="317">
        <v>50392</v>
      </c>
      <c r="F14" s="317">
        <v>67698</v>
      </c>
      <c r="G14" s="317">
        <v>59272</v>
      </c>
      <c r="H14" s="317">
        <v>1089718</v>
      </c>
      <c r="I14" s="317">
        <v>1112271</v>
      </c>
      <c r="J14" s="317">
        <v>58286.74</v>
      </c>
      <c r="K14" s="317">
        <v>63301</v>
      </c>
      <c r="L14" s="317">
        <v>179582</v>
      </c>
      <c r="M14" s="317">
        <f>M9+M10</f>
        <v>189382</v>
      </c>
      <c r="N14" s="317">
        <v>87407.98</v>
      </c>
      <c r="O14" s="317">
        <v>89435</v>
      </c>
      <c r="P14" s="317">
        <v>33548</v>
      </c>
      <c r="Q14" s="317">
        <v>38616</v>
      </c>
      <c r="R14" s="317">
        <v>150177</v>
      </c>
      <c r="S14" s="317">
        <f>S9+S10</f>
        <v>153208</v>
      </c>
      <c r="T14" s="317">
        <v>38432</v>
      </c>
      <c r="U14" s="317">
        <v>40510</v>
      </c>
      <c r="V14" s="317">
        <v>943120</v>
      </c>
      <c r="W14" s="317">
        <f>W9+W10</f>
        <v>976528</v>
      </c>
      <c r="X14" s="317">
        <v>1054751.46</v>
      </c>
      <c r="Y14" s="317">
        <v>1100617</v>
      </c>
      <c r="Z14" s="317">
        <v>110529</v>
      </c>
      <c r="AA14" s="317">
        <f>AA9+AA10</f>
        <v>114173</v>
      </c>
      <c r="AB14" s="317">
        <v>94633</v>
      </c>
      <c r="AC14" s="317">
        <v>96571</v>
      </c>
      <c r="AD14" s="317">
        <v>432649</v>
      </c>
      <c r="AE14" s="317">
        <v>462517</v>
      </c>
      <c r="AF14" s="317">
        <v>587458</v>
      </c>
      <c r="AG14" s="317">
        <v>681499</v>
      </c>
      <c r="AH14" s="317">
        <v>202264</v>
      </c>
      <c r="AI14" s="317">
        <f t="shared" ref="AI14:AU14" si="2">AI9+AI10</f>
        <v>256430</v>
      </c>
      <c r="AJ14" s="317">
        <v>168573</v>
      </c>
      <c r="AK14" s="317">
        <f t="shared" si="2"/>
        <v>178961</v>
      </c>
      <c r="AL14" s="317"/>
      <c r="AM14" s="317">
        <f t="shared" si="2"/>
        <v>0</v>
      </c>
      <c r="AN14" s="317">
        <v>1067793.27</v>
      </c>
      <c r="AO14" s="317">
        <f t="shared" si="2"/>
        <v>1217270</v>
      </c>
      <c r="AP14" s="317">
        <v>52485.98</v>
      </c>
      <c r="AQ14" s="317">
        <f t="shared" si="2"/>
        <v>69064</v>
      </c>
      <c r="AR14" s="317">
        <v>92517</v>
      </c>
      <c r="AS14" s="317">
        <f t="shared" si="2"/>
        <v>112231</v>
      </c>
      <c r="AT14" s="317">
        <v>307679</v>
      </c>
      <c r="AU14" s="317">
        <f t="shared" si="2"/>
        <v>380941</v>
      </c>
      <c r="AV14" s="307">
        <f t="shared" si="0"/>
        <v>7105205.4299999997</v>
      </c>
      <c r="AW14" s="309">
        <f>SUM(C14+E14+G14+I14+K14+M14+O14+Q14+S14+U14+W14+Y14+AA14+AC14+AE14+AG14+AI14+AK14+AM14+AO14+AQ14+AS14+AU14)</f>
        <v>7733686</v>
      </c>
      <c r="AX14" s="309">
        <v>18664032</v>
      </c>
      <c r="AY14" s="283">
        <v>20554269</v>
      </c>
      <c r="AZ14" s="313">
        <f t="shared" si="1"/>
        <v>25769237.43</v>
      </c>
      <c r="BA14" s="308">
        <f t="shared" si="1"/>
        <v>28287955</v>
      </c>
    </row>
    <row r="15" spans="1:53" s="33" customFormat="1" ht="15" thickBot="1" x14ac:dyDescent="0.35">
      <c r="A15" s="319" t="s">
        <v>117</v>
      </c>
      <c r="B15" s="448">
        <v>137753</v>
      </c>
      <c r="C15" s="1052">
        <v>154381</v>
      </c>
      <c r="D15" s="333">
        <v>15801</v>
      </c>
      <c r="E15" s="325">
        <v>15117</v>
      </c>
      <c r="F15" s="325">
        <v>30208</v>
      </c>
      <c r="G15" s="325">
        <v>32623</v>
      </c>
      <c r="H15" s="325">
        <v>163647</v>
      </c>
      <c r="I15" s="325">
        <v>191591</v>
      </c>
      <c r="J15" s="325">
        <v>32743.22</v>
      </c>
      <c r="K15" s="325">
        <v>39168</v>
      </c>
      <c r="L15" s="325">
        <v>54909</v>
      </c>
      <c r="M15" s="325">
        <v>67164</v>
      </c>
      <c r="N15" s="325">
        <v>19778.3</v>
      </c>
      <c r="O15" s="325">
        <v>22131</v>
      </c>
      <c r="P15" s="325">
        <v>15617</v>
      </c>
      <c r="Q15" s="325">
        <v>18301</v>
      </c>
      <c r="R15" s="325">
        <v>67624</v>
      </c>
      <c r="S15" s="325">
        <v>70689</v>
      </c>
      <c r="T15" s="325">
        <v>18955</v>
      </c>
      <c r="U15" s="325">
        <v>22123</v>
      </c>
      <c r="V15" s="325">
        <v>943120</v>
      </c>
      <c r="W15" s="325">
        <v>555784</v>
      </c>
      <c r="X15" s="325">
        <v>486527.16</v>
      </c>
      <c r="Y15" s="325">
        <v>538216</v>
      </c>
      <c r="Z15" s="325">
        <v>32551</v>
      </c>
      <c r="AA15" s="329">
        <v>36587</v>
      </c>
      <c r="AB15" s="329">
        <v>52210</v>
      </c>
      <c r="AC15" s="325">
        <v>58508</v>
      </c>
      <c r="AD15" s="325">
        <v>149128</v>
      </c>
      <c r="AE15" s="325">
        <v>169543</v>
      </c>
      <c r="AF15" s="325">
        <v>290488</v>
      </c>
      <c r="AG15" s="325">
        <v>339847</v>
      </c>
      <c r="AH15" s="325">
        <v>106481</v>
      </c>
      <c r="AI15" s="325">
        <v>122862</v>
      </c>
      <c r="AJ15" s="325">
        <v>68763</v>
      </c>
      <c r="AK15" s="325">
        <v>76023</v>
      </c>
      <c r="AL15" s="325"/>
      <c r="AM15" s="322"/>
      <c r="AN15" s="1056">
        <v>497387.77</v>
      </c>
      <c r="AO15" s="319">
        <v>594510</v>
      </c>
      <c r="AP15" s="319">
        <v>29166.59</v>
      </c>
      <c r="AQ15" s="318">
        <v>33650</v>
      </c>
      <c r="AR15" s="318">
        <v>44899</v>
      </c>
      <c r="AS15" s="314">
        <v>56016</v>
      </c>
      <c r="AT15" s="314">
        <v>150527</v>
      </c>
      <c r="AU15" s="325">
        <v>194736</v>
      </c>
      <c r="AV15" s="1090">
        <f t="shared" si="0"/>
        <v>3408284.0399999996</v>
      </c>
      <c r="AW15" s="310">
        <f>SUM(C15+E15+G15+I15+K15+M15+O15+Q15+S15+U15+W15+Y15+AA15+AC15+AE15+AG15+AI15+AK15+AM15+AO15+AQ15+AS15+AU15)</f>
        <v>3409570</v>
      </c>
      <c r="AX15" s="310">
        <v>10594208</v>
      </c>
      <c r="AY15" s="312">
        <v>11139884</v>
      </c>
      <c r="AZ15" s="1092">
        <f t="shared" si="1"/>
        <v>14002492.039999999</v>
      </c>
      <c r="BA15" s="335">
        <f t="shared" si="1"/>
        <v>14549454</v>
      </c>
    </row>
    <row r="16" spans="1:53" s="514" customFormat="1" ht="15" thickBot="1" x14ac:dyDescent="0.35">
      <c r="A16" s="506" t="s">
        <v>118</v>
      </c>
      <c r="B16" s="1054">
        <v>1.8</v>
      </c>
      <c r="C16" s="507">
        <v>1.88</v>
      </c>
      <c r="D16" s="507">
        <v>2.41</v>
      </c>
      <c r="E16" s="508">
        <v>3.33</v>
      </c>
      <c r="F16" s="508">
        <v>2.2400000000000002</v>
      </c>
      <c r="G16" s="508">
        <v>1.82</v>
      </c>
      <c r="H16" s="508">
        <v>6.66</v>
      </c>
      <c r="I16" s="508">
        <v>5.81</v>
      </c>
      <c r="J16" s="508">
        <v>1.78</v>
      </c>
      <c r="K16" s="508">
        <v>1.62</v>
      </c>
      <c r="L16" s="508">
        <v>3.27</v>
      </c>
      <c r="M16" s="508">
        <v>2.82</v>
      </c>
      <c r="N16" s="508">
        <v>442</v>
      </c>
      <c r="O16" s="508">
        <v>404</v>
      </c>
      <c r="P16" s="508">
        <v>215</v>
      </c>
      <c r="Q16" s="508">
        <v>2.11</v>
      </c>
      <c r="R16" s="508">
        <v>2.2200000000000002</v>
      </c>
      <c r="S16" s="508">
        <v>2.17</v>
      </c>
      <c r="T16" s="508">
        <v>2.0299999999999998</v>
      </c>
      <c r="U16" s="508">
        <v>1.83</v>
      </c>
      <c r="V16" s="508">
        <v>2.0099999999999998</v>
      </c>
      <c r="W16" s="508">
        <v>1.76</v>
      </c>
      <c r="X16" s="508">
        <v>2.17</v>
      </c>
      <c r="Y16" s="508">
        <v>2.04</v>
      </c>
      <c r="Z16" s="508">
        <v>3.4</v>
      </c>
      <c r="AA16" s="509">
        <v>3.12</v>
      </c>
      <c r="AB16" s="509">
        <v>1.81</v>
      </c>
      <c r="AC16" s="508">
        <v>1.65</v>
      </c>
      <c r="AD16" s="508">
        <v>2.9</v>
      </c>
      <c r="AE16" s="508">
        <v>2.73</v>
      </c>
      <c r="AF16" s="508">
        <v>2.02</v>
      </c>
      <c r="AG16" s="508">
        <v>2.0099999999999998</v>
      </c>
      <c r="AH16" s="508">
        <v>1.9</v>
      </c>
      <c r="AI16" s="508">
        <v>2.09</v>
      </c>
      <c r="AJ16" s="508">
        <v>2.4500000000000002</v>
      </c>
      <c r="AK16" s="508">
        <v>2.35</v>
      </c>
      <c r="AL16" s="508"/>
      <c r="AM16" s="510"/>
      <c r="AN16" s="510">
        <v>2.15</v>
      </c>
      <c r="AO16" s="508">
        <v>2.0499999999999998</v>
      </c>
      <c r="AP16" s="508">
        <v>1.8</v>
      </c>
      <c r="AQ16" s="511">
        <v>2.0499999999999998</v>
      </c>
      <c r="AR16" s="511">
        <v>2.06</v>
      </c>
      <c r="AS16" s="512">
        <v>2</v>
      </c>
      <c r="AT16" s="512">
        <v>2.04</v>
      </c>
      <c r="AU16" s="508">
        <v>1.96</v>
      </c>
      <c r="AV16" s="1091"/>
      <c r="AW16" s="513"/>
      <c r="AX16" s="513">
        <v>1.76</v>
      </c>
      <c r="AY16" s="513">
        <v>1.85</v>
      </c>
      <c r="AZ16" s="1093"/>
      <c r="BA16" s="506"/>
    </row>
  </sheetData>
  <mergeCells count="28">
    <mergeCell ref="V3:W3"/>
    <mergeCell ref="AN3:AO3"/>
    <mergeCell ref="AH3:AI3"/>
    <mergeCell ref="AF3:AG3"/>
    <mergeCell ref="AZ3:BA3"/>
    <mergeCell ref="AX3:AY3"/>
    <mergeCell ref="AV3:AW3"/>
    <mergeCell ref="AT3:AU3"/>
    <mergeCell ref="AR3:AS3"/>
    <mergeCell ref="AP3:AQ3"/>
    <mergeCell ref="AL3:AM3"/>
    <mergeCell ref="AJ3:AK3"/>
    <mergeCell ref="A1:BA1"/>
    <mergeCell ref="A2:BA2"/>
    <mergeCell ref="B3:C3"/>
    <mergeCell ref="D3:E3"/>
    <mergeCell ref="F3:G3"/>
    <mergeCell ref="P3:Q3"/>
    <mergeCell ref="X3:Y3"/>
    <mergeCell ref="AD3:AE3"/>
    <mergeCell ref="J3:K3"/>
    <mergeCell ref="H3:I3"/>
    <mergeCell ref="Z3:AA3"/>
    <mergeCell ref="AB3:AC3"/>
    <mergeCell ref="N3:O3"/>
    <mergeCell ref="L3:M3"/>
    <mergeCell ref="R3:S3"/>
    <mergeCell ref="T3:U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</sheetPr>
  <dimension ref="A1:BA14"/>
  <sheetViews>
    <sheetView workbookViewId="0">
      <pane xSplit="1" topLeftCell="AO1" activePane="topRight" state="frozen"/>
      <selection pane="topRight" activeCell="F18" sqref="F18"/>
    </sheetView>
  </sheetViews>
  <sheetFormatPr defaultRowHeight="13.5" x14ac:dyDescent="0.25"/>
  <cols>
    <col min="1" max="1" width="23.7109375" style="85" bestFit="1" customWidth="1"/>
    <col min="2" max="53" width="12.42578125" style="85" bestFit="1" customWidth="1"/>
    <col min="54" max="16384" width="9.140625" style="85"/>
  </cols>
  <sheetData>
    <row r="1" spans="1:53" x14ac:dyDescent="0.25">
      <c r="A1" s="1406" t="s">
        <v>299</v>
      </c>
      <c r="B1" s="1406"/>
      <c r="C1" s="1406"/>
      <c r="D1" s="1406"/>
      <c r="E1" s="1406"/>
      <c r="F1" s="1406"/>
      <c r="G1" s="1406"/>
      <c r="H1" s="1406"/>
      <c r="I1" s="1406"/>
      <c r="J1" s="1406"/>
      <c r="K1" s="1406"/>
      <c r="L1" s="1406"/>
      <c r="M1" s="1406"/>
      <c r="N1" s="1406"/>
      <c r="O1" s="1406"/>
      <c r="P1" s="1406"/>
      <c r="Q1" s="1406"/>
      <c r="R1" s="1406"/>
      <c r="S1" s="1406"/>
      <c r="T1" s="1406"/>
      <c r="U1" s="1406"/>
      <c r="V1" s="1406"/>
      <c r="W1" s="1406"/>
      <c r="X1" s="1406"/>
      <c r="Y1" s="1406"/>
      <c r="Z1" s="1406"/>
      <c r="AA1" s="1406"/>
      <c r="AB1" s="1406"/>
      <c r="AC1" s="1406"/>
      <c r="AD1" s="1406"/>
      <c r="AE1" s="1406"/>
      <c r="AF1" s="1406"/>
      <c r="AG1" s="1406"/>
      <c r="AH1" s="1406"/>
      <c r="AI1" s="1406"/>
      <c r="AJ1" s="1406"/>
      <c r="AK1" s="1406"/>
      <c r="AL1" s="1406"/>
      <c r="AM1" s="1406"/>
      <c r="AN1" s="1406"/>
      <c r="AO1" s="1406"/>
      <c r="AP1" s="1406"/>
      <c r="AQ1" s="1406"/>
      <c r="AR1" s="1406"/>
      <c r="AS1" s="1406"/>
      <c r="AT1" s="1406"/>
      <c r="AU1" s="1406"/>
      <c r="AV1" s="1406"/>
      <c r="AW1" s="1406"/>
      <c r="AX1" s="1406"/>
      <c r="AY1" s="1406"/>
    </row>
    <row r="2" spans="1:53" ht="16.5" thickBot="1" x14ac:dyDescent="0.4">
      <c r="A2" s="1333" t="s">
        <v>156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  <c r="T2" s="1333"/>
      <c r="U2" s="1333"/>
      <c r="V2" s="1333"/>
      <c r="W2" s="1333"/>
      <c r="X2" s="1333"/>
      <c r="Y2" s="1333"/>
      <c r="Z2" s="1333"/>
      <c r="AA2" s="1333"/>
      <c r="AB2" s="1333"/>
      <c r="AC2" s="1333"/>
      <c r="AD2" s="1333"/>
      <c r="AE2" s="1333"/>
      <c r="AF2" s="1333"/>
      <c r="AG2" s="1333"/>
      <c r="AH2" s="1333"/>
      <c r="AI2" s="1333"/>
      <c r="AJ2" s="1333"/>
      <c r="AK2" s="1333"/>
      <c r="AL2" s="1333"/>
      <c r="AM2" s="1333"/>
      <c r="AN2" s="1333"/>
      <c r="AO2" s="1333"/>
      <c r="AP2" s="1333"/>
      <c r="AQ2" s="1333"/>
      <c r="AR2" s="1333"/>
      <c r="AS2" s="1333"/>
      <c r="AT2" s="1333"/>
      <c r="AU2" s="1333"/>
      <c r="AV2" s="1333"/>
      <c r="AW2" s="1333"/>
      <c r="AX2" s="1333"/>
      <c r="AY2" s="1333"/>
    </row>
    <row r="3" spans="1:53" s="720" customFormat="1" ht="41.25" customHeight="1" thickBot="1" x14ac:dyDescent="0.3">
      <c r="A3" s="1407" t="s">
        <v>0</v>
      </c>
      <c r="B3" s="1399" t="s">
        <v>158</v>
      </c>
      <c r="C3" s="1400"/>
      <c r="D3" s="1399" t="s">
        <v>159</v>
      </c>
      <c r="E3" s="1401"/>
      <c r="F3" s="1399" t="s">
        <v>160</v>
      </c>
      <c r="G3" s="1400"/>
      <c r="H3" s="1399" t="s">
        <v>161</v>
      </c>
      <c r="I3" s="1400"/>
      <c r="J3" s="1399" t="s">
        <v>162</v>
      </c>
      <c r="K3" s="1401"/>
      <c r="L3" s="1399" t="s">
        <v>163</v>
      </c>
      <c r="M3" s="1400"/>
      <c r="N3" s="1399" t="s">
        <v>312</v>
      </c>
      <c r="O3" s="1401"/>
      <c r="P3" s="1399" t="s">
        <v>164</v>
      </c>
      <c r="Q3" s="1400"/>
      <c r="R3" s="1399" t="s">
        <v>165</v>
      </c>
      <c r="S3" s="1400"/>
      <c r="T3" s="1399" t="s">
        <v>166</v>
      </c>
      <c r="U3" s="1401"/>
      <c r="V3" s="1399" t="s">
        <v>167</v>
      </c>
      <c r="W3" s="1400"/>
      <c r="X3" s="1399" t="s">
        <v>168</v>
      </c>
      <c r="Y3" s="1400"/>
      <c r="Z3" s="1399" t="s">
        <v>383</v>
      </c>
      <c r="AA3" s="1400"/>
      <c r="AB3" s="1399" t="s">
        <v>169</v>
      </c>
      <c r="AC3" s="1400"/>
      <c r="AD3" s="1402" t="s">
        <v>170</v>
      </c>
      <c r="AE3" s="1409"/>
      <c r="AF3" s="1399" t="s">
        <v>171</v>
      </c>
      <c r="AG3" s="1400"/>
      <c r="AH3" s="1399" t="s">
        <v>172</v>
      </c>
      <c r="AI3" s="1400"/>
      <c r="AJ3" s="1399" t="s">
        <v>173</v>
      </c>
      <c r="AK3" s="1400"/>
      <c r="AL3" s="1402" t="s">
        <v>174</v>
      </c>
      <c r="AM3" s="1403"/>
      <c r="AN3" s="1399" t="s">
        <v>175</v>
      </c>
      <c r="AO3" s="1400"/>
      <c r="AP3" s="1399" t="s">
        <v>176</v>
      </c>
      <c r="AQ3" s="1400"/>
      <c r="AR3" s="1399" t="s">
        <v>177</v>
      </c>
      <c r="AS3" s="1400"/>
      <c r="AT3" s="1399" t="s">
        <v>178</v>
      </c>
      <c r="AU3" s="1400"/>
      <c r="AV3" s="1399" t="s">
        <v>1</v>
      </c>
      <c r="AW3" s="1400"/>
      <c r="AX3" s="1404" t="s">
        <v>179</v>
      </c>
      <c r="AY3" s="1405"/>
      <c r="AZ3" s="1402" t="s">
        <v>2</v>
      </c>
      <c r="BA3" s="1403"/>
    </row>
    <row r="4" spans="1:53" s="379" customFormat="1" ht="15" thickBot="1" x14ac:dyDescent="0.35">
      <c r="A4" s="1408"/>
      <c r="B4" s="996" t="s">
        <v>380</v>
      </c>
      <c r="C4" s="997" t="s">
        <v>423</v>
      </c>
      <c r="D4" s="996" t="s">
        <v>380</v>
      </c>
      <c r="E4" s="997" t="s">
        <v>423</v>
      </c>
      <c r="F4" s="996" t="s">
        <v>380</v>
      </c>
      <c r="G4" s="997" t="s">
        <v>423</v>
      </c>
      <c r="H4" s="996" t="s">
        <v>380</v>
      </c>
      <c r="I4" s="997" t="s">
        <v>423</v>
      </c>
      <c r="J4" s="996" t="s">
        <v>380</v>
      </c>
      <c r="K4" s="997" t="s">
        <v>423</v>
      </c>
      <c r="L4" s="996" t="s">
        <v>380</v>
      </c>
      <c r="M4" s="997" t="s">
        <v>423</v>
      </c>
      <c r="N4" s="996" t="s">
        <v>380</v>
      </c>
      <c r="O4" s="997" t="s">
        <v>423</v>
      </c>
      <c r="P4" s="996" t="s">
        <v>380</v>
      </c>
      <c r="Q4" s="997" t="s">
        <v>423</v>
      </c>
      <c r="R4" s="996" t="s">
        <v>380</v>
      </c>
      <c r="S4" s="997" t="s">
        <v>423</v>
      </c>
      <c r="T4" s="996" t="s">
        <v>380</v>
      </c>
      <c r="U4" s="997" t="s">
        <v>423</v>
      </c>
      <c r="V4" s="996" t="s">
        <v>380</v>
      </c>
      <c r="W4" s="997" t="s">
        <v>423</v>
      </c>
      <c r="X4" s="996" t="s">
        <v>380</v>
      </c>
      <c r="Y4" s="997" t="s">
        <v>423</v>
      </c>
      <c r="Z4" s="996" t="s">
        <v>380</v>
      </c>
      <c r="AA4" s="997" t="s">
        <v>423</v>
      </c>
      <c r="AB4" s="996" t="s">
        <v>380</v>
      </c>
      <c r="AC4" s="997" t="s">
        <v>423</v>
      </c>
      <c r="AD4" s="996" t="s">
        <v>380</v>
      </c>
      <c r="AE4" s="997" t="s">
        <v>423</v>
      </c>
      <c r="AF4" s="996" t="s">
        <v>380</v>
      </c>
      <c r="AG4" s="997" t="s">
        <v>423</v>
      </c>
      <c r="AH4" s="996" t="s">
        <v>380</v>
      </c>
      <c r="AI4" s="997" t="s">
        <v>423</v>
      </c>
      <c r="AJ4" s="996" t="s">
        <v>380</v>
      </c>
      <c r="AK4" s="997" t="s">
        <v>423</v>
      </c>
      <c r="AL4" s="996" t="s">
        <v>380</v>
      </c>
      <c r="AM4" s="997" t="s">
        <v>423</v>
      </c>
      <c r="AN4" s="996" t="s">
        <v>380</v>
      </c>
      <c r="AO4" s="997" t="s">
        <v>423</v>
      </c>
      <c r="AP4" s="996" t="s">
        <v>380</v>
      </c>
      <c r="AQ4" s="997" t="s">
        <v>423</v>
      </c>
      <c r="AR4" s="996" t="s">
        <v>380</v>
      </c>
      <c r="AS4" s="997" t="s">
        <v>423</v>
      </c>
      <c r="AT4" s="996" t="s">
        <v>380</v>
      </c>
      <c r="AU4" s="997" t="s">
        <v>423</v>
      </c>
      <c r="AV4" s="996" t="s">
        <v>380</v>
      </c>
      <c r="AW4" s="997" t="s">
        <v>423</v>
      </c>
      <c r="AX4" s="996" t="s">
        <v>380</v>
      </c>
      <c r="AY4" s="997" t="s">
        <v>423</v>
      </c>
      <c r="AZ4" s="998" t="s">
        <v>380</v>
      </c>
      <c r="BA4" s="997" t="s">
        <v>423</v>
      </c>
    </row>
    <row r="5" spans="1:53" s="88" customFormat="1" ht="15" customHeight="1" x14ac:dyDescent="0.25">
      <c r="A5" s="94" t="s">
        <v>3</v>
      </c>
      <c r="B5" s="274">
        <v>37.29</v>
      </c>
      <c r="C5" s="275">
        <v>56.26</v>
      </c>
      <c r="D5" s="274"/>
      <c r="E5" s="276"/>
      <c r="F5" s="273">
        <v>0.85</v>
      </c>
      <c r="G5" s="275">
        <v>0.11</v>
      </c>
      <c r="H5" s="274">
        <v>8.6300000000000008</v>
      </c>
      <c r="I5" s="275">
        <v>7.97</v>
      </c>
      <c r="J5" s="274"/>
      <c r="K5" s="276"/>
      <c r="L5" s="273"/>
      <c r="M5" s="275"/>
      <c r="N5" s="274">
        <v>6.0000000000000001E-3</v>
      </c>
      <c r="O5" s="276"/>
      <c r="P5" s="273">
        <v>0.11</v>
      </c>
      <c r="Q5" s="275"/>
      <c r="R5" s="274"/>
      <c r="S5" s="275"/>
      <c r="T5" s="274">
        <v>23.04</v>
      </c>
      <c r="U5" s="276">
        <v>3.26</v>
      </c>
      <c r="V5" s="273">
        <v>133.12</v>
      </c>
      <c r="W5" s="275">
        <v>1.25</v>
      </c>
      <c r="X5" s="274">
        <v>8</v>
      </c>
      <c r="Y5" s="275">
        <v>1.95</v>
      </c>
      <c r="Z5" s="274">
        <v>0.04</v>
      </c>
      <c r="AA5" s="275">
        <v>0.03</v>
      </c>
      <c r="AB5" s="342"/>
      <c r="AC5" s="343"/>
      <c r="AD5" s="274">
        <v>1.64</v>
      </c>
      <c r="AE5" s="276">
        <v>0.43</v>
      </c>
      <c r="AF5" s="273">
        <v>2.76</v>
      </c>
      <c r="AG5" s="275">
        <v>1.77</v>
      </c>
      <c r="AH5" s="274">
        <v>0.6</v>
      </c>
      <c r="AI5" s="275">
        <v>2.21</v>
      </c>
      <c r="AJ5" s="274"/>
      <c r="AK5" s="275"/>
      <c r="AL5" s="274"/>
      <c r="AM5" s="276"/>
      <c r="AN5" s="802">
        <v>92</v>
      </c>
      <c r="AO5" s="803">
        <v>223.95</v>
      </c>
      <c r="AP5" s="277"/>
      <c r="AQ5" s="275"/>
      <c r="AR5" s="274">
        <v>2.8E-3</v>
      </c>
      <c r="AS5" s="275"/>
      <c r="AT5" s="274">
        <v>2.5099999999999998</v>
      </c>
      <c r="AU5" s="275">
        <v>3.55</v>
      </c>
      <c r="AV5" s="271">
        <f t="shared" ref="AV5:AV14" si="0">SUM(B5+D5+F5+H5+J5+L5+N5+P5+R5+T5+V5+X5+Z5+P5+AD5+AF5+AH5+AJ5+AL5+AN5+AP5+AR5+AT5)</f>
        <v>310.70879999999994</v>
      </c>
      <c r="AW5" s="538">
        <f t="shared" ref="AW5:AW14" si="1">SUM(C5+E5+G5+I5+K5+M5+O5+Q5+S5+U5+W5+Y5+AA5+Q5+AE5+AG5+AI5+AK5+AM5+AO5+AQ5+AS5+AU5)</f>
        <v>302.74</v>
      </c>
      <c r="AX5" s="274">
        <v>3098.74</v>
      </c>
      <c r="AY5" s="276">
        <v>4319.25</v>
      </c>
      <c r="AZ5" s="271">
        <f t="shared" ref="AZ5:AZ14" si="2">AV5+AX5</f>
        <v>3409.4487999999997</v>
      </c>
      <c r="BA5" s="272">
        <f t="shared" ref="BA5:BA14" si="3">AW5+AY5</f>
        <v>4621.99</v>
      </c>
    </row>
    <row r="6" spans="1:53" s="88" customFormat="1" x14ac:dyDescent="0.25">
      <c r="A6" s="94" t="s">
        <v>4</v>
      </c>
      <c r="B6" s="35">
        <v>-19.57</v>
      </c>
      <c r="C6" s="87">
        <v>33.49</v>
      </c>
      <c r="D6" s="7"/>
      <c r="E6" s="89"/>
      <c r="F6" s="6">
        <v>2.44</v>
      </c>
      <c r="G6" s="8">
        <v>10.4</v>
      </c>
      <c r="H6" s="7">
        <v>902.7</v>
      </c>
      <c r="I6" s="8">
        <v>1247.26</v>
      </c>
      <c r="J6" s="7">
        <v>8.83</v>
      </c>
      <c r="K6" s="89">
        <v>19.899999999999999</v>
      </c>
      <c r="L6" s="6">
        <v>208.65</v>
      </c>
      <c r="M6" s="8">
        <v>310.60000000000002</v>
      </c>
      <c r="N6" s="7"/>
      <c r="O6" s="89"/>
      <c r="P6" s="6">
        <v>7.05</v>
      </c>
      <c r="Q6" s="8">
        <v>9.51</v>
      </c>
      <c r="R6" s="7">
        <v>0.25</v>
      </c>
      <c r="S6" s="8">
        <v>0.19</v>
      </c>
      <c r="T6" s="7">
        <v>76.31</v>
      </c>
      <c r="U6" s="89">
        <v>21.9</v>
      </c>
      <c r="V6" s="6">
        <v>1418.28</v>
      </c>
      <c r="W6" s="8">
        <v>2228.41</v>
      </c>
      <c r="X6" s="7">
        <v>706</v>
      </c>
      <c r="Y6" s="8">
        <v>345.89</v>
      </c>
      <c r="Z6" s="84">
        <v>88.94</v>
      </c>
      <c r="AA6" s="540">
        <v>151.09</v>
      </c>
      <c r="AB6" s="340">
        <v>142.6</v>
      </c>
      <c r="AC6" s="341">
        <v>267.87</v>
      </c>
      <c r="AD6" s="7">
        <v>194.17</v>
      </c>
      <c r="AE6" s="89">
        <v>272</v>
      </c>
      <c r="AF6" s="6">
        <v>430.16</v>
      </c>
      <c r="AG6" s="8">
        <v>639.57000000000005</v>
      </c>
      <c r="AH6" s="7">
        <v>267.51</v>
      </c>
      <c r="AI6" s="8">
        <v>303.02999999999997</v>
      </c>
      <c r="AJ6" s="7"/>
      <c r="AK6" s="8"/>
      <c r="AL6" s="7"/>
      <c r="AM6" s="89"/>
      <c r="AN6" s="804">
        <v>3306</v>
      </c>
      <c r="AO6" s="805">
        <v>2680.18</v>
      </c>
      <c r="AP6" s="801"/>
      <c r="AQ6" s="90"/>
      <c r="AR6" s="91">
        <v>268.97000000000003</v>
      </c>
      <c r="AS6" s="92">
        <v>372.34</v>
      </c>
      <c r="AT6" s="7">
        <v>1.05</v>
      </c>
      <c r="AU6" s="8">
        <v>5.32</v>
      </c>
      <c r="AV6" s="271">
        <f t="shared" si="0"/>
        <v>7874.7900000000009</v>
      </c>
      <c r="AW6" s="538">
        <f t="shared" si="1"/>
        <v>8660.59</v>
      </c>
      <c r="AX6" s="91">
        <v>31.66</v>
      </c>
      <c r="AY6" s="808">
        <v>1522.31</v>
      </c>
      <c r="AZ6" s="809">
        <f t="shared" si="2"/>
        <v>7906.4500000000007</v>
      </c>
      <c r="BA6" s="87">
        <f t="shared" si="3"/>
        <v>10182.9</v>
      </c>
    </row>
    <row r="7" spans="1:53" s="88" customFormat="1" x14ac:dyDescent="0.25">
      <c r="A7" s="94" t="s">
        <v>5</v>
      </c>
      <c r="B7" s="35">
        <v>141.94999999999999</v>
      </c>
      <c r="C7" s="87">
        <v>179.97</v>
      </c>
      <c r="D7" s="7">
        <v>2.06</v>
      </c>
      <c r="E7" s="89">
        <v>-0.03</v>
      </c>
      <c r="F7" s="6"/>
      <c r="G7" s="8"/>
      <c r="H7" s="7">
        <v>39.81</v>
      </c>
      <c r="I7" s="8">
        <v>63.67</v>
      </c>
      <c r="J7" s="7">
        <v>0.91</v>
      </c>
      <c r="K7" s="89">
        <v>2.5099999999999998</v>
      </c>
      <c r="L7" s="6">
        <v>11.75</v>
      </c>
      <c r="M7" s="8">
        <v>48.41</v>
      </c>
      <c r="N7" s="7">
        <v>80.11</v>
      </c>
      <c r="O7" s="89">
        <v>100.65</v>
      </c>
      <c r="P7" s="6"/>
      <c r="Q7" s="8"/>
      <c r="R7" s="7"/>
      <c r="S7" s="8"/>
      <c r="T7" s="7">
        <v>1.1100000000000001</v>
      </c>
      <c r="U7" s="89">
        <v>0.12</v>
      </c>
      <c r="V7" s="6">
        <v>1080.18</v>
      </c>
      <c r="W7" s="8">
        <v>1509.62</v>
      </c>
      <c r="X7" s="7">
        <v>249</v>
      </c>
      <c r="Y7" s="8">
        <v>120.01</v>
      </c>
      <c r="Z7" s="84"/>
      <c r="AA7" s="540"/>
      <c r="AB7" s="340"/>
      <c r="AC7" s="341"/>
      <c r="AD7" s="7">
        <v>181.63</v>
      </c>
      <c r="AE7" s="89">
        <v>322.26</v>
      </c>
      <c r="AF7" s="6">
        <v>5.61</v>
      </c>
      <c r="AG7" s="8">
        <v>7.08</v>
      </c>
      <c r="AH7" s="7">
        <v>0.02</v>
      </c>
      <c r="AI7" s="8"/>
      <c r="AJ7" s="7"/>
      <c r="AK7" s="8"/>
      <c r="AL7" s="7"/>
      <c r="AM7" s="89"/>
      <c r="AN7" s="804">
        <v>4</v>
      </c>
      <c r="AO7" s="805">
        <v>2.96</v>
      </c>
      <c r="AP7" s="801">
        <v>82.62</v>
      </c>
      <c r="AQ7" s="90">
        <v>104.66</v>
      </c>
      <c r="AR7" s="91"/>
      <c r="AS7" s="92"/>
      <c r="AT7" s="7"/>
      <c r="AU7" s="8">
        <v>0.24</v>
      </c>
      <c r="AV7" s="271">
        <f t="shared" si="0"/>
        <v>1880.7600000000002</v>
      </c>
      <c r="AW7" s="538">
        <f t="shared" si="1"/>
        <v>2462.1299999999992</v>
      </c>
      <c r="AX7" s="91">
        <v>17.899999999999999</v>
      </c>
      <c r="AY7" s="808">
        <v>14.32</v>
      </c>
      <c r="AZ7" s="809">
        <f t="shared" si="2"/>
        <v>1898.6600000000003</v>
      </c>
      <c r="BA7" s="87">
        <f t="shared" si="3"/>
        <v>2476.4499999999994</v>
      </c>
    </row>
    <row r="8" spans="1:53" s="88" customFormat="1" x14ac:dyDescent="0.25">
      <c r="A8" s="94" t="s">
        <v>6</v>
      </c>
      <c r="B8" s="35">
        <v>354.07</v>
      </c>
      <c r="C8" s="87">
        <v>203.89</v>
      </c>
      <c r="D8" s="7">
        <v>11.83</v>
      </c>
      <c r="E8" s="89">
        <v>4.84</v>
      </c>
      <c r="F8" s="6">
        <v>15.82</v>
      </c>
      <c r="G8" s="8">
        <v>32.04</v>
      </c>
      <c r="H8" s="7">
        <v>89.34</v>
      </c>
      <c r="I8" s="8">
        <v>224.4</v>
      </c>
      <c r="J8" s="7">
        <v>0.13</v>
      </c>
      <c r="K8" s="89">
        <v>0.67</v>
      </c>
      <c r="L8" s="6">
        <v>56.87</v>
      </c>
      <c r="M8" s="8">
        <v>2.69</v>
      </c>
      <c r="N8" s="7">
        <v>11.62</v>
      </c>
      <c r="O8" s="89">
        <v>35.93</v>
      </c>
      <c r="P8" s="6">
        <v>4.28</v>
      </c>
      <c r="Q8" s="8">
        <v>1.27</v>
      </c>
      <c r="R8" s="7">
        <v>77.459999999999994</v>
      </c>
      <c r="S8" s="8">
        <v>117.59</v>
      </c>
      <c r="T8" s="7">
        <v>11.77</v>
      </c>
      <c r="U8" s="89">
        <v>12.16</v>
      </c>
      <c r="V8" s="6">
        <v>178.28</v>
      </c>
      <c r="W8" s="8">
        <v>308.77</v>
      </c>
      <c r="X8" s="7">
        <v>275</v>
      </c>
      <c r="Y8" s="8">
        <v>127.86</v>
      </c>
      <c r="Z8" s="84"/>
      <c r="AA8" s="540"/>
      <c r="AB8" s="340">
        <v>37.9</v>
      </c>
      <c r="AC8" s="341">
        <v>74.52</v>
      </c>
      <c r="AD8" s="7">
        <v>89.79</v>
      </c>
      <c r="AE8" s="89">
        <v>179.68</v>
      </c>
      <c r="AF8" s="6">
        <v>42.45</v>
      </c>
      <c r="AG8" s="8">
        <v>18.23</v>
      </c>
      <c r="AH8" s="7">
        <v>115.24</v>
      </c>
      <c r="AI8" s="8">
        <v>130.13</v>
      </c>
      <c r="AJ8" s="7">
        <v>0.13</v>
      </c>
      <c r="AK8" s="8">
        <v>0.94</v>
      </c>
      <c r="AL8" s="7"/>
      <c r="AM8" s="89"/>
      <c r="AN8" s="804">
        <v>60</v>
      </c>
      <c r="AO8" s="805">
        <v>94.56</v>
      </c>
      <c r="AP8" s="801">
        <v>14.6</v>
      </c>
      <c r="AQ8" s="90">
        <v>36.46</v>
      </c>
      <c r="AR8" s="91">
        <v>1.27</v>
      </c>
      <c r="AS8" s="92">
        <v>4.93</v>
      </c>
      <c r="AT8" s="7">
        <v>68.58</v>
      </c>
      <c r="AU8" s="8">
        <v>101.8</v>
      </c>
      <c r="AV8" s="271">
        <f t="shared" si="0"/>
        <v>1482.8099999999997</v>
      </c>
      <c r="AW8" s="538">
        <f t="shared" si="1"/>
        <v>1640.1100000000001</v>
      </c>
      <c r="AX8" s="91">
        <v>53.41</v>
      </c>
      <c r="AY8" s="808">
        <v>234.89</v>
      </c>
      <c r="AZ8" s="809">
        <f t="shared" si="2"/>
        <v>1536.2199999999998</v>
      </c>
      <c r="BA8" s="87">
        <f t="shared" si="3"/>
        <v>1875</v>
      </c>
    </row>
    <row r="9" spans="1:53" s="88" customFormat="1" x14ac:dyDescent="0.25">
      <c r="A9" s="94" t="s">
        <v>7</v>
      </c>
      <c r="B9" s="35"/>
      <c r="C9" s="87"/>
      <c r="D9" s="7"/>
      <c r="E9" s="89"/>
      <c r="F9" s="6"/>
      <c r="G9" s="8"/>
      <c r="H9" s="7">
        <v>70.209999999999994</v>
      </c>
      <c r="I9" s="8">
        <v>97.6</v>
      </c>
      <c r="J9" s="7"/>
      <c r="K9" s="89"/>
      <c r="L9" s="6"/>
      <c r="M9" s="8"/>
      <c r="N9" s="7">
        <v>2.85</v>
      </c>
      <c r="O9" s="89">
        <v>5.5</v>
      </c>
      <c r="P9" s="6"/>
      <c r="Q9" s="8"/>
      <c r="R9" s="7"/>
      <c r="S9" s="8"/>
      <c r="T9" s="7"/>
      <c r="U9" s="89"/>
      <c r="V9" s="6">
        <v>17.489999999999998</v>
      </c>
      <c r="W9" s="8">
        <v>46.92</v>
      </c>
      <c r="X9" s="7">
        <v>4</v>
      </c>
      <c r="Y9" s="8"/>
      <c r="Z9" s="84"/>
      <c r="AA9" s="540"/>
      <c r="AB9" s="340"/>
      <c r="AC9" s="341"/>
      <c r="AD9" s="7">
        <v>106.02</v>
      </c>
      <c r="AE9" s="89">
        <v>150.63999999999999</v>
      </c>
      <c r="AF9" s="6"/>
      <c r="AG9" s="8"/>
      <c r="AH9" s="7"/>
      <c r="AI9" s="8"/>
      <c r="AJ9" s="7"/>
      <c r="AK9" s="8"/>
      <c r="AL9" s="7"/>
      <c r="AM9" s="89"/>
      <c r="AN9" s="806"/>
      <c r="AO9" s="807"/>
      <c r="AP9" s="801"/>
      <c r="AQ9" s="90"/>
      <c r="AR9" s="91"/>
      <c r="AS9" s="92"/>
      <c r="AT9" s="7"/>
      <c r="AU9" s="8"/>
      <c r="AV9" s="271">
        <f t="shared" si="0"/>
        <v>200.57</v>
      </c>
      <c r="AW9" s="538">
        <f t="shared" si="1"/>
        <v>300.65999999999997</v>
      </c>
      <c r="AX9" s="91"/>
      <c r="AY9" s="808"/>
      <c r="AZ9" s="809">
        <f t="shared" si="2"/>
        <v>200.57</v>
      </c>
      <c r="BA9" s="87">
        <f t="shared" si="3"/>
        <v>300.65999999999997</v>
      </c>
    </row>
    <row r="10" spans="1:53" s="88" customFormat="1" x14ac:dyDescent="0.25">
      <c r="A10" s="94" t="s">
        <v>8</v>
      </c>
      <c r="B10" s="35">
        <v>1973.96</v>
      </c>
      <c r="C10" s="87">
        <v>2749.63</v>
      </c>
      <c r="D10" s="7">
        <v>12.77</v>
      </c>
      <c r="E10" s="89">
        <v>1.42</v>
      </c>
      <c r="F10" s="6">
        <v>40.08</v>
      </c>
      <c r="G10" s="8">
        <v>43.97</v>
      </c>
      <c r="H10" s="7">
        <v>2671.89</v>
      </c>
      <c r="I10" s="8">
        <v>3534.18</v>
      </c>
      <c r="J10" s="7">
        <v>126.58</v>
      </c>
      <c r="K10" s="89">
        <v>153.66</v>
      </c>
      <c r="L10" s="6">
        <v>595.91999999999996</v>
      </c>
      <c r="M10" s="8">
        <v>696.78</v>
      </c>
      <c r="N10" s="7">
        <v>19.37</v>
      </c>
      <c r="O10" s="89">
        <v>40.799999999999997</v>
      </c>
      <c r="P10" s="6">
        <v>33.35</v>
      </c>
      <c r="Q10" s="8">
        <v>23.29</v>
      </c>
      <c r="R10" s="7">
        <v>28.53</v>
      </c>
      <c r="S10" s="8">
        <v>33.25</v>
      </c>
      <c r="T10" s="7">
        <v>54.74</v>
      </c>
      <c r="U10" s="89">
        <v>99.72</v>
      </c>
      <c r="V10" s="6">
        <v>7289.98</v>
      </c>
      <c r="W10" s="8">
        <v>8495.14</v>
      </c>
      <c r="X10" s="7">
        <v>4138</v>
      </c>
      <c r="Y10" s="8">
        <v>1367.3</v>
      </c>
      <c r="Z10" s="84">
        <v>38.340000000000003</v>
      </c>
      <c r="AA10" s="540">
        <v>26.08</v>
      </c>
      <c r="AB10" s="340">
        <v>826.02</v>
      </c>
      <c r="AC10" s="341">
        <v>869.5</v>
      </c>
      <c r="AD10" s="93">
        <v>1738.66</v>
      </c>
      <c r="AE10" s="539">
        <v>1916.01</v>
      </c>
      <c r="AF10" s="6">
        <v>117.61</v>
      </c>
      <c r="AG10" s="8">
        <v>139.76</v>
      </c>
      <c r="AH10" s="7">
        <v>62.83</v>
      </c>
      <c r="AI10" s="8">
        <v>152.16</v>
      </c>
      <c r="AJ10" s="7">
        <v>178.33</v>
      </c>
      <c r="AK10" s="8">
        <v>298.3</v>
      </c>
      <c r="AL10" s="7"/>
      <c r="AM10" s="89"/>
      <c r="AN10" s="804">
        <v>4663</v>
      </c>
      <c r="AO10" s="805">
        <v>5956.01</v>
      </c>
      <c r="AP10" s="801">
        <v>220.27</v>
      </c>
      <c r="AQ10" s="90">
        <v>353.25</v>
      </c>
      <c r="AR10" s="91">
        <v>11.43</v>
      </c>
      <c r="AS10" s="92">
        <v>398.19</v>
      </c>
      <c r="AT10" s="7">
        <v>117.83</v>
      </c>
      <c r="AU10" s="8">
        <v>237.21</v>
      </c>
      <c r="AV10" s="271">
        <f t="shared" si="0"/>
        <v>24166.820000000003</v>
      </c>
      <c r="AW10" s="538">
        <f t="shared" si="1"/>
        <v>26739.399999999998</v>
      </c>
      <c r="AX10" s="7">
        <v>124567.73</v>
      </c>
      <c r="AY10" s="89">
        <v>137847.79999999999</v>
      </c>
      <c r="AZ10" s="809">
        <f t="shared" si="2"/>
        <v>148734.54999999999</v>
      </c>
      <c r="BA10" s="87">
        <f t="shared" si="3"/>
        <v>164587.19999999998</v>
      </c>
    </row>
    <row r="11" spans="1:53" s="88" customFormat="1" ht="14.25" thickBot="1" x14ac:dyDescent="0.3">
      <c r="A11" s="94" t="s">
        <v>9</v>
      </c>
      <c r="B11" s="1203"/>
      <c r="C11" s="1204"/>
      <c r="D11" s="1205"/>
      <c r="E11" s="1206"/>
      <c r="F11" s="1207"/>
      <c r="G11" s="1208"/>
      <c r="H11" s="1205"/>
      <c r="I11" s="1208"/>
      <c r="J11" s="1205"/>
      <c r="K11" s="1206"/>
      <c r="L11" s="1207"/>
      <c r="M11" s="1208"/>
      <c r="N11" s="1205"/>
      <c r="O11" s="1206"/>
      <c r="P11" s="1207"/>
      <c r="Q11" s="1208"/>
      <c r="R11" s="1205"/>
      <c r="S11" s="1208"/>
      <c r="T11" s="1205"/>
      <c r="U11" s="1206"/>
      <c r="V11" s="1207"/>
      <c r="W11" s="1208"/>
      <c r="X11" s="1205"/>
      <c r="Y11" s="1208">
        <f>0.01+0.01+2.17</f>
        <v>2.19</v>
      </c>
      <c r="Z11" s="1209"/>
      <c r="AA11" s="1210"/>
      <c r="AB11" s="1211"/>
      <c r="AC11" s="1212"/>
      <c r="AD11" s="1213"/>
      <c r="AE11" s="1214"/>
      <c r="AF11" s="1207"/>
      <c r="AG11" s="1208"/>
      <c r="AH11" s="1205"/>
      <c r="AI11" s="1208"/>
      <c r="AJ11" s="1205"/>
      <c r="AK11" s="1208"/>
      <c r="AL11" s="1205"/>
      <c r="AM11" s="1206"/>
      <c r="AN11" s="1215"/>
      <c r="AO11" s="1216"/>
      <c r="AP11" s="1217"/>
      <c r="AQ11" s="1218"/>
      <c r="AR11" s="1219"/>
      <c r="AS11" s="1220"/>
      <c r="AT11" s="1205"/>
      <c r="AU11" s="1208"/>
      <c r="AV11" s="1221">
        <f t="shared" si="0"/>
        <v>0</v>
      </c>
      <c r="AW11" s="1222">
        <f t="shared" si="1"/>
        <v>2.19</v>
      </c>
      <c r="AX11" s="1205"/>
      <c r="AY11" s="1206"/>
      <c r="AZ11" s="1223">
        <f t="shared" si="2"/>
        <v>0</v>
      </c>
      <c r="BA11" s="1204">
        <f t="shared" si="3"/>
        <v>2.19</v>
      </c>
    </row>
    <row r="12" spans="1:53" s="380" customFormat="1" ht="14.25" thickBot="1" x14ac:dyDescent="0.3">
      <c r="A12" s="631" t="s">
        <v>10</v>
      </c>
      <c r="B12" s="392">
        <f t="shared" ref="B12:Q12" si="4">SUM(B5:B11)</f>
        <v>2487.6999999999998</v>
      </c>
      <c r="C12" s="395">
        <f t="shared" si="4"/>
        <v>3223.2400000000002</v>
      </c>
      <c r="D12" s="392">
        <f t="shared" si="4"/>
        <v>26.66</v>
      </c>
      <c r="E12" s="393">
        <f t="shared" si="4"/>
        <v>6.2299999999999995</v>
      </c>
      <c r="F12" s="394">
        <f t="shared" si="4"/>
        <v>59.19</v>
      </c>
      <c r="G12" s="395">
        <f t="shared" si="4"/>
        <v>86.52</v>
      </c>
      <c r="H12" s="392">
        <f t="shared" si="4"/>
        <v>3782.58</v>
      </c>
      <c r="I12" s="395">
        <f t="shared" si="4"/>
        <v>5175.08</v>
      </c>
      <c r="J12" s="392">
        <f t="shared" si="4"/>
        <v>136.44999999999999</v>
      </c>
      <c r="K12" s="393">
        <f t="shared" si="4"/>
        <v>176.74</v>
      </c>
      <c r="L12" s="394">
        <f t="shared" si="4"/>
        <v>873.18999999999994</v>
      </c>
      <c r="M12" s="395">
        <f t="shared" si="4"/>
        <v>1058.48</v>
      </c>
      <c r="N12" s="1224">
        <f t="shared" si="4"/>
        <v>113.956</v>
      </c>
      <c r="O12" s="1225">
        <f t="shared" si="4"/>
        <v>182.88</v>
      </c>
      <c r="P12" s="394">
        <f t="shared" si="4"/>
        <v>44.790000000000006</v>
      </c>
      <c r="Q12" s="395">
        <f t="shared" si="4"/>
        <v>34.07</v>
      </c>
      <c r="R12" s="1224">
        <f t="shared" ref="R12:AG12" si="5">SUM(R5:R11)</f>
        <v>106.24</v>
      </c>
      <c r="S12" s="1226">
        <f t="shared" si="5"/>
        <v>151.03</v>
      </c>
      <c r="T12" s="392">
        <f t="shared" si="5"/>
        <v>166.97</v>
      </c>
      <c r="U12" s="393">
        <f t="shared" si="5"/>
        <v>137.16</v>
      </c>
      <c r="V12" s="394">
        <f t="shared" si="5"/>
        <v>10117.33</v>
      </c>
      <c r="W12" s="395">
        <f t="shared" si="5"/>
        <v>12590.109999999999</v>
      </c>
      <c r="X12" s="392">
        <f t="shared" si="5"/>
        <v>5380</v>
      </c>
      <c r="Y12" s="395">
        <f t="shared" si="5"/>
        <v>1965.1999999999998</v>
      </c>
      <c r="Z12" s="392">
        <f t="shared" si="5"/>
        <v>127.32000000000001</v>
      </c>
      <c r="AA12" s="395">
        <f t="shared" si="5"/>
        <v>177.2</v>
      </c>
      <c r="AB12" s="1224">
        <f t="shared" si="5"/>
        <v>1006.52</v>
      </c>
      <c r="AC12" s="1226">
        <f t="shared" si="5"/>
        <v>1211.8899999999999</v>
      </c>
      <c r="AD12" s="392">
        <f t="shared" si="5"/>
        <v>2311.91</v>
      </c>
      <c r="AE12" s="393">
        <f t="shared" si="5"/>
        <v>2841.02</v>
      </c>
      <c r="AF12" s="394">
        <f t="shared" si="5"/>
        <v>598.59</v>
      </c>
      <c r="AG12" s="395">
        <f t="shared" si="5"/>
        <v>806.41000000000008</v>
      </c>
      <c r="AH12" s="392">
        <f t="shared" ref="AH12:AU12" si="6">SUM(AH5:AH11)</f>
        <v>446.2</v>
      </c>
      <c r="AI12" s="395">
        <f t="shared" si="6"/>
        <v>587.53</v>
      </c>
      <c r="AJ12" s="392">
        <f t="shared" si="6"/>
        <v>178.46</v>
      </c>
      <c r="AK12" s="395">
        <f t="shared" si="6"/>
        <v>299.24</v>
      </c>
      <c r="AL12" s="392">
        <f t="shared" si="6"/>
        <v>0</v>
      </c>
      <c r="AM12" s="393">
        <f t="shared" si="6"/>
        <v>0</v>
      </c>
      <c r="AN12" s="394">
        <f t="shared" si="6"/>
        <v>8125</v>
      </c>
      <c r="AO12" s="1226">
        <f t="shared" si="6"/>
        <v>8957.66</v>
      </c>
      <c r="AP12" s="392">
        <f t="shared" si="6"/>
        <v>317.49</v>
      </c>
      <c r="AQ12" s="395">
        <f t="shared" si="6"/>
        <v>494.37</v>
      </c>
      <c r="AR12" s="392">
        <f t="shared" si="6"/>
        <v>281.6728</v>
      </c>
      <c r="AS12" s="395">
        <f t="shared" si="6"/>
        <v>775.46</v>
      </c>
      <c r="AT12" s="392">
        <f t="shared" si="6"/>
        <v>189.97</v>
      </c>
      <c r="AU12" s="392">
        <f t="shared" si="6"/>
        <v>348.12</v>
      </c>
      <c r="AV12" s="394">
        <f t="shared" si="0"/>
        <v>35916.4588</v>
      </c>
      <c r="AW12" s="1227">
        <f t="shared" si="1"/>
        <v>40107.82</v>
      </c>
      <c r="AX12" s="1228">
        <f>SUM(AX5:AX11)</f>
        <v>127769.44</v>
      </c>
      <c r="AY12" s="1229">
        <f>SUM(AY5:AY11)</f>
        <v>143938.56999999998</v>
      </c>
      <c r="AZ12" s="394">
        <f t="shared" si="2"/>
        <v>163685.8988</v>
      </c>
      <c r="BA12" s="1226">
        <f t="shared" si="3"/>
        <v>184046.38999999998</v>
      </c>
    </row>
    <row r="13" spans="1:53" s="88" customFormat="1" ht="14.25" thickBot="1" x14ac:dyDescent="0.3">
      <c r="A13" s="94" t="s">
        <v>11</v>
      </c>
      <c r="B13" s="1230"/>
      <c r="C13" s="1231"/>
      <c r="D13" s="1232"/>
      <c r="E13" s="1233"/>
      <c r="F13" s="1234"/>
      <c r="G13" s="1235"/>
      <c r="H13" s="1232"/>
      <c r="I13" s="1235"/>
      <c r="J13" s="1232"/>
      <c r="K13" s="1233"/>
      <c r="L13" s="1234"/>
      <c r="M13" s="1235"/>
      <c r="N13" s="1232"/>
      <c r="O13" s="1233"/>
      <c r="P13" s="1234"/>
      <c r="Q13" s="1235"/>
      <c r="R13" s="1236"/>
      <c r="S13" s="1237"/>
      <c r="T13" s="1236"/>
      <c r="U13" s="1238"/>
      <c r="V13" s="1239"/>
      <c r="W13" s="1237"/>
      <c r="X13" s="1236"/>
      <c r="Y13" s="1237"/>
      <c r="Z13" s="1236"/>
      <c r="AA13" s="1237"/>
      <c r="AB13" s="1240"/>
      <c r="AC13" s="1241"/>
      <c r="AD13" s="1232"/>
      <c r="AE13" s="1233"/>
      <c r="AF13" s="1234"/>
      <c r="AG13" s="1235"/>
      <c r="AH13" s="1232"/>
      <c r="AI13" s="1235">
        <v>-3.0000000000000001E-3</v>
      </c>
      <c r="AJ13" s="1232"/>
      <c r="AK13" s="1235"/>
      <c r="AL13" s="1232"/>
      <c r="AM13" s="1233"/>
      <c r="AN13" s="1242"/>
      <c r="AO13" s="1243"/>
      <c r="AP13" s="1244"/>
      <c r="AQ13" s="1245"/>
      <c r="AR13" s="1246"/>
      <c r="AS13" s="1247"/>
      <c r="AT13" s="1232"/>
      <c r="AU13" s="1235"/>
      <c r="AV13" s="1221">
        <f t="shared" si="0"/>
        <v>0</v>
      </c>
      <c r="AW13" s="1222">
        <f t="shared" si="1"/>
        <v>-3.0000000000000001E-3</v>
      </c>
      <c r="AX13" s="1246"/>
      <c r="AY13" s="1248"/>
      <c r="AZ13" s="1221">
        <f t="shared" si="2"/>
        <v>0</v>
      </c>
      <c r="BA13" s="1249">
        <f t="shared" si="3"/>
        <v>-3.0000000000000001E-3</v>
      </c>
    </row>
    <row r="14" spans="1:53" s="380" customFormat="1" ht="14.25" thickBot="1" x14ac:dyDescent="0.3">
      <c r="A14" s="631" t="s">
        <v>12</v>
      </c>
      <c r="B14" s="392">
        <f t="shared" ref="B14:AG14" si="7">B12+B13</f>
        <v>2487.6999999999998</v>
      </c>
      <c r="C14" s="395">
        <f t="shared" si="7"/>
        <v>3223.2400000000002</v>
      </c>
      <c r="D14" s="392">
        <f t="shared" si="7"/>
        <v>26.66</v>
      </c>
      <c r="E14" s="393">
        <f t="shared" si="7"/>
        <v>6.2299999999999995</v>
      </c>
      <c r="F14" s="394">
        <f t="shared" si="7"/>
        <v>59.19</v>
      </c>
      <c r="G14" s="395">
        <f t="shared" si="7"/>
        <v>86.52</v>
      </c>
      <c r="H14" s="392">
        <f t="shared" si="7"/>
        <v>3782.58</v>
      </c>
      <c r="I14" s="395">
        <f t="shared" si="7"/>
        <v>5175.08</v>
      </c>
      <c r="J14" s="392">
        <f t="shared" si="7"/>
        <v>136.44999999999999</v>
      </c>
      <c r="K14" s="393">
        <f t="shared" si="7"/>
        <v>176.74</v>
      </c>
      <c r="L14" s="394">
        <f t="shared" si="7"/>
        <v>873.18999999999994</v>
      </c>
      <c r="M14" s="395">
        <f t="shared" si="7"/>
        <v>1058.48</v>
      </c>
      <c r="N14" s="1224">
        <f t="shared" si="7"/>
        <v>113.956</v>
      </c>
      <c r="O14" s="1225">
        <f t="shared" si="7"/>
        <v>182.88</v>
      </c>
      <c r="P14" s="394">
        <f>P12+P13</f>
        <v>44.790000000000006</v>
      </c>
      <c r="Q14" s="395">
        <f>Q12+Q13</f>
        <v>34.07</v>
      </c>
      <c r="R14" s="1224">
        <f t="shared" si="7"/>
        <v>106.24</v>
      </c>
      <c r="S14" s="1226">
        <f t="shared" si="7"/>
        <v>151.03</v>
      </c>
      <c r="T14" s="392">
        <f t="shared" si="7"/>
        <v>166.97</v>
      </c>
      <c r="U14" s="393">
        <f t="shared" si="7"/>
        <v>137.16</v>
      </c>
      <c r="V14" s="394">
        <f t="shared" si="7"/>
        <v>10117.33</v>
      </c>
      <c r="W14" s="395">
        <f t="shared" si="7"/>
        <v>12590.109999999999</v>
      </c>
      <c r="X14" s="392">
        <f t="shared" si="7"/>
        <v>5380</v>
      </c>
      <c r="Y14" s="395">
        <f t="shared" si="7"/>
        <v>1965.1999999999998</v>
      </c>
      <c r="Z14" s="392">
        <f t="shared" si="7"/>
        <v>127.32000000000001</v>
      </c>
      <c r="AA14" s="395">
        <f t="shared" si="7"/>
        <v>177.2</v>
      </c>
      <c r="AB14" s="1224">
        <f t="shared" si="7"/>
        <v>1006.52</v>
      </c>
      <c r="AC14" s="1226">
        <f t="shared" si="7"/>
        <v>1211.8899999999999</v>
      </c>
      <c r="AD14" s="392">
        <f t="shared" si="7"/>
        <v>2311.91</v>
      </c>
      <c r="AE14" s="393">
        <f t="shared" si="7"/>
        <v>2841.02</v>
      </c>
      <c r="AF14" s="394">
        <f t="shared" si="7"/>
        <v>598.59</v>
      </c>
      <c r="AG14" s="395">
        <f t="shared" si="7"/>
        <v>806.41000000000008</v>
      </c>
      <c r="AH14" s="392">
        <f t="shared" ref="AH14:AU14" si="8">AH12+AH13</f>
        <v>446.2</v>
      </c>
      <c r="AI14" s="395">
        <f t="shared" si="8"/>
        <v>587.52699999999993</v>
      </c>
      <c r="AJ14" s="392">
        <f t="shared" si="8"/>
        <v>178.46</v>
      </c>
      <c r="AK14" s="395">
        <f t="shared" si="8"/>
        <v>299.24</v>
      </c>
      <c r="AL14" s="392">
        <f t="shared" si="8"/>
        <v>0</v>
      </c>
      <c r="AM14" s="393">
        <f t="shared" si="8"/>
        <v>0</v>
      </c>
      <c r="AN14" s="394">
        <f t="shared" si="8"/>
        <v>8125</v>
      </c>
      <c r="AO14" s="395">
        <f t="shared" si="8"/>
        <v>8957.66</v>
      </c>
      <c r="AP14" s="392">
        <f t="shared" si="8"/>
        <v>317.49</v>
      </c>
      <c r="AQ14" s="395">
        <f t="shared" si="8"/>
        <v>494.37</v>
      </c>
      <c r="AR14" s="392">
        <f t="shared" si="8"/>
        <v>281.6728</v>
      </c>
      <c r="AS14" s="395">
        <f t="shared" si="8"/>
        <v>775.46</v>
      </c>
      <c r="AT14" s="392">
        <f t="shared" si="8"/>
        <v>189.97</v>
      </c>
      <c r="AU14" s="392">
        <f t="shared" si="8"/>
        <v>348.12</v>
      </c>
      <c r="AV14" s="394">
        <f t="shared" si="0"/>
        <v>35916.4588</v>
      </c>
      <c r="AW14" s="1227">
        <f t="shared" si="1"/>
        <v>40107.817000000003</v>
      </c>
      <c r="AX14" s="1228">
        <f>AX12+AX13</f>
        <v>127769.44</v>
      </c>
      <c r="AY14" s="1229">
        <f>AY12+AY13</f>
        <v>143938.56999999998</v>
      </c>
      <c r="AZ14" s="394">
        <f t="shared" si="2"/>
        <v>163685.8988</v>
      </c>
      <c r="BA14" s="1226">
        <f t="shared" si="3"/>
        <v>184046.38699999999</v>
      </c>
    </row>
  </sheetData>
  <mergeCells count="29">
    <mergeCell ref="A1:AY1"/>
    <mergeCell ref="A2:AY2"/>
    <mergeCell ref="A3:A4"/>
    <mergeCell ref="J3:K3"/>
    <mergeCell ref="Z3:AA3"/>
    <mergeCell ref="AB3:AC3"/>
    <mergeCell ref="AD3:AE3"/>
    <mergeCell ref="L3:M3"/>
    <mergeCell ref="F3:G3"/>
    <mergeCell ref="H3:I3"/>
    <mergeCell ref="N3:O3"/>
    <mergeCell ref="D3:E3"/>
    <mergeCell ref="B3:C3"/>
    <mergeCell ref="X3:Y3"/>
    <mergeCell ref="V3:W3"/>
    <mergeCell ref="P3:Q3"/>
    <mergeCell ref="R3:S3"/>
    <mergeCell ref="T3:U3"/>
    <mergeCell ref="AZ3:BA3"/>
    <mergeCell ref="AX3:AY3"/>
    <mergeCell ref="AV3:AW3"/>
    <mergeCell ref="AP3:AQ3"/>
    <mergeCell ref="AR3:AS3"/>
    <mergeCell ref="AT3:AU3"/>
    <mergeCell ref="AN3:AO3"/>
    <mergeCell ref="AL3:AM3"/>
    <mergeCell ref="AJ3:AK3"/>
    <mergeCell ref="AH3:AI3"/>
    <mergeCell ref="AF3:AG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</sheetPr>
  <dimension ref="A1:BA14"/>
  <sheetViews>
    <sheetView workbookViewId="0">
      <pane xSplit="1" topLeftCell="AO1" activePane="topRight" state="frozen"/>
      <selection pane="topRight" sqref="A1:IV65536"/>
    </sheetView>
  </sheetViews>
  <sheetFormatPr defaultRowHeight="14.25" x14ac:dyDescent="0.3"/>
  <cols>
    <col min="1" max="1" width="23.7109375" style="9" bestFit="1" customWidth="1"/>
    <col min="2" max="15" width="12.42578125" style="9" bestFit="1" customWidth="1"/>
    <col min="16" max="17" width="12.42578125" style="33" bestFit="1" customWidth="1"/>
    <col min="18" max="25" width="12.42578125" style="9" bestFit="1" customWidth="1"/>
    <col min="26" max="27" width="12.42578125" style="33" bestFit="1" customWidth="1"/>
    <col min="28" max="53" width="12.42578125" style="9" bestFit="1" customWidth="1"/>
    <col min="54" max="16384" width="9.140625" style="9"/>
  </cols>
  <sheetData>
    <row r="1" spans="1:53" x14ac:dyDescent="0.3">
      <c r="A1" s="1393" t="s">
        <v>13</v>
      </c>
      <c r="B1" s="1393"/>
      <c r="C1" s="1393"/>
      <c r="D1" s="1393"/>
      <c r="E1" s="1393"/>
      <c r="F1" s="1393"/>
      <c r="G1" s="1393"/>
      <c r="H1" s="1393"/>
      <c r="I1" s="1393"/>
      <c r="J1" s="1393"/>
      <c r="K1" s="1393"/>
      <c r="L1" s="1393"/>
      <c r="M1" s="1393"/>
      <c r="N1" s="1393"/>
      <c r="O1" s="1393"/>
      <c r="P1" s="1393"/>
      <c r="Q1" s="1393"/>
      <c r="R1" s="1393"/>
      <c r="S1" s="1393"/>
      <c r="T1" s="1393"/>
      <c r="U1" s="1393"/>
      <c r="V1" s="1393"/>
      <c r="W1" s="1393"/>
      <c r="X1" s="1393"/>
      <c r="Y1" s="1393"/>
      <c r="Z1" s="1393"/>
      <c r="AA1" s="1393"/>
      <c r="AB1" s="1393"/>
      <c r="AC1" s="1393"/>
      <c r="AD1" s="1393"/>
      <c r="AE1" s="1393"/>
      <c r="AF1" s="1393"/>
      <c r="AG1" s="1393"/>
      <c r="AH1" s="1393"/>
      <c r="AI1" s="1393"/>
      <c r="AJ1" s="1393"/>
      <c r="AK1" s="1393"/>
      <c r="AL1" s="1393"/>
      <c r="AM1" s="1393"/>
      <c r="AN1" s="1393"/>
      <c r="AO1" s="1393"/>
      <c r="AP1" s="1393"/>
      <c r="AQ1" s="1393"/>
      <c r="AR1" s="1393"/>
      <c r="AS1" s="1393"/>
      <c r="AT1" s="1393"/>
      <c r="AU1" s="1393"/>
      <c r="AV1" s="1393"/>
      <c r="AW1" s="1393"/>
      <c r="AX1" s="1393"/>
      <c r="AY1" s="1393"/>
    </row>
    <row r="2" spans="1:53" ht="15" thickBot="1" x14ac:dyDescent="0.35">
      <c r="A2" s="1359"/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  <c r="O2" s="1359"/>
      <c r="P2" s="1359"/>
      <c r="Q2" s="1359"/>
      <c r="R2" s="1359"/>
      <c r="S2" s="1359"/>
      <c r="T2" s="1359"/>
      <c r="U2" s="1359"/>
      <c r="V2" s="1359"/>
      <c r="W2" s="1359"/>
      <c r="X2" s="1359"/>
      <c r="Y2" s="1359"/>
      <c r="Z2" s="1359"/>
      <c r="AA2" s="1359"/>
      <c r="AB2" s="1359"/>
      <c r="AC2" s="1359"/>
      <c r="AD2" s="1359"/>
      <c r="AE2" s="1359"/>
      <c r="AF2" s="1359"/>
      <c r="AG2" s="1359"/>
      <c r="AH2" s="1359"/>
      <c r="AI2" s="1359"/>
      <c r="AJ2" s="1359"/>
      <c r="AK2" s="1359"/>
      <c r="AL2" s="1359"/>
      <c r="AM2" s="1359"/>
      <c r="AN2" s="1359"/>
      <c r="AO2" s="1359"/>
      <c r="AP2" s="1359"/>
      <c r="AQ2" s="1359"/>
      <c r="AR2" s="1359"/>
      <c r="AS2" s="1359"/>
      <c r="AT2" s="1359"/>
      <c r="AU2" s="1359"/>
      <c r="AV2" s="1359"/>
      <c r="AW2" s="1359"/>
      <c r="AX2" s="1359"/>
      <c r="AY2" s="1359"/>
    </row>
    <row r="3" spans="1:53" s="721" customFormat="1" ht="28.5" customHeight="1" thickBot="1" x14ac:dyDescent="0.3">
      <c r="A3" s="1407" t="s">
        <v>0</v>
      </c>
      <c r="B3" s="1410" t="s">
        <v>158</v>
      </c>
      <c r="C3" s="1411"/>
      <c r="D3" s="1410" t="s">
        <v>159</v>
      </c>
      <c r="E3" s="1411"/>
      <c r="F3" s="1410" t="s">
        <v>160</v>
      </c>
      <c r="G3" s="1411"/>
      <c r="H3" s="1410" t="s">
        <v>161</v>
      </c>
      <c r="I3" s="1411"/>
      <c r="J3" s="1410" t="s">
        <v>162</v>
      </c>
      <c r="K3" s="1411"/>
      <c r="L3" s="1410" t="s">
        <v>163</v>
      </c>
      <c r="M3" s="1411"/>
      <c r="N3" s="1410" t="s">
        <v>312</v>
      </c>
      <c r="O3" s="1411"/>
      <c r="P3" s="1412" t="s">
        <v>164</v>
      </c>
      <c r="Q3" s="1413"/>
      <c r="R3" s="1410" t="s">
        <v>165</v>
      </c>
      <c r="S3" s="1411"/>
      <c r="T3" s="1410" t="s">
        <v>166</v>
      </c>
      <c r="U3" s="1411"/>
      <c r="V3" s="1410" t="s">
        <v>167</v>
      </c>
      <c r="W3" s="1411"/>
      <c r="X3" s="1410" t="s">
        <v>168</v>
      </c>
      <c r="Y3" s="1411"/>
      <c r="Z3" s="1412" t="s">
        <v>383</v>
      </c>
      <c r="AA3" s="1413"/>
      <c r="AB3" s="1410" t="s">
        <v>169</v>
      </c>
      <c r="AC3" s="1411"/>
      <c r="AD3" s="1414" t="s">
        <v>170</v>
      </c>
      <c r="AE3" s="1415"/>
      <c r="AF3" s="1410" t="s">
        <v>171</v>
      </c>
      <c r="AG3" s="1411"/>
      <c r="AH3" s="1410" t="s">
        <v>172</v>
      </c>
      <c r="AI3" s="1411"/>
      <c r="AJ3" s="1410" t="s">
        <v>173</v>
      </c>
      <c r="AK3" s="1411"/>
      <c r="AL3" s="1414" t="s">
        <v>174</v>
      </c>
      <c r="AM3" s="1415"/>
      <c r="AN3" s="1410" t="s">
        <v>175</v>
      </c>
      <c r="AO3" s="1411"/>
      <c r="AP3" s="1410" t="s">
        <v>176</v>
      </c>
      <c r="AQ3" s="1411"/>
      <c r="AR3" s="1410" t="s">
        <v>177</v>
      </c>
      <c r="AS3" s="1411"/>
      <c r="AT3" s="1410" t="s">
        <v>178</v>
      </c>
      <c r="AU3" s="1411"/>
      <c r="AV3" s="1410" t="s">
        <v>1</v>
      </c>
      <c r="AW3" s="1411"/>
      <c r="AX3" s="1416" t="s">
        <v>179</v>
      </c>
      <c r="AY3" s="1417"/>
      <c r="AZ3" s="1414" t="s">
        <v>2</v>
      </c>
      <c r="BA3" s="1415"/>
    </row>
    <row r="4" spans="1:53" s="378" customFormat="1" ht="15" thickBot="1" x14ac:dyDescent="0.35">
      <c r="A4" s="1408"/>
      <c r="B4" s="996" t="s">
        <v>380</v>
      </c>
      <c r="C4" s="997" t="s">
        <v>423</v>
      </c>
      <c r="D4" s="998" t="s">
        <v>380</v>
      </c>
      <c r="E4" s="997" t="s">
        <v>423</v>
      </c>
      <c r="F4" s="998" t="s">
        <v>380</v>
      </c>
      <c r="G4" s="997" t="s">
        <v>423</v>
      </c>
      <c r="H4" s="998" t="s">
        <v>380</v>
      </c>
      <c r="I4" s="997" t="s">
        <v>423</v>
      </c>
      <c r="J4" s="998" t="s">
        <v>380</v>
      </c>
      <c r="K4" s="997" t="s">
        <v>423</v>
      </c>
      <c r="L4" s="998" t="s">
        <v>380</v>
      </c>
      <c r="M4" s="997" t="s">
        <v>423</v>
      </c>
      <c r="N4" s="996" t="s">
        <v>380</v>
      </c>
      <c r="O4" s="997" t="s">
        <v>423</v>
      </c>
      <c r="P4" s="998" t="s">
        <v>380</v>
      </c>
      <c r="Q4" s="997" t="s">
        <v>423</v>
      </c>
      <c r="R4" s="998" t="s">
        <v>380</v>
      </c>
      <c r="S4" s="997" t="s">
        <v>423</v>
      </c>
      <c r="T4" s="998" t="s">
        <v>380</v>
      </c>
      <c r="U4" s="997" t="s">
        <v>423</v>
      </c>
      <c r="V4" s="998" t="s">
        <v>380</v>
      </c>
      <c r="W4" s="997" t="s">
        <v>423</v>
      </c>
      <c r="X4" s="998" t="s">
        <v>380</v>
      </c>
      <c r="Y4" s="997" t="s">
        <v>423</v>
      </c>
      <c r="Z4" s="996" t="s">
        <v>380</v>
      </c>
      <c r="AA4" s="997" t="s">
        <v>423</v>
      </c>
      <c r="AB4" s="998" t="s">
        <v>380</v>
      </c>
      <c r="AC4" s="997" t="s">
        <v>423</v>
      </c>
      <c r="AD4" s="998" t="s">
        <v>380</v>
      </c>
      <c r="AE4" s="997" t="s">
        <v>423</v>
      </c>
      <c r="AF4" s="998" t="s">
        <v>380</v>
      </c>
      <c r="AG4" s="997" t="s">
        <v>423</v>
      </c>
      <c r="AH4" s="998" t="s">
        <v>380</v>
      </c>
      <c r="AI4" s="997" t="s">
        <v>423</v>
      </c>
      <c r="AJ4" s="998" t="s">
        <v>380</v>
      </c>
      <c r="AK4" s="997" t="s">
        <v>423</v>
      </c>
      <c r="AL4" s="996" t="s">
        <v>380</v>
      </c>
      <c r="AM4" s="997" t="s">
        <v>423</v>
      </c>
      <c r="AN4" s="998" t="s">
        <v>380</v>
      </c>
      <c r="AO4" s="997" t="s">
        <v>423</v>
      </c>
      <c r="AP4" s="998" t="s">
        <v>380</v>
      </c>
      <c r="AQ4" s="997" t="s">
        <v>423</v>
      </c>
      <c r="AR4" s="998" t="s">
        <v>380</v>
      </c>
      <c r="AS4" s="997" t="s">
        <v>423</v>
      </c>
      <c r="AT4" s="998" t="s">
        <v>380</v>
      </c>
      <c r="AU4" s="997" t="s">
        <v>423</v>
      </c>
      <c r="AV4" s="998" t="s">
        <v>380</v>
      </c>
      <c r="AW4" s="997" t="s">
        <v>423</v>
      </c>
      <c r="AX4" s="998" t="s">
        <v>380</v>
      </c>
      <c r="AY4" s="997" t="s">
        <v>423</v>
      </c>
      <c r="AZ4" s="998" t="s">
        <v>380</v>
      </c>
      <c r="BA4" s="997" t="s">
        <v>423</v>
      </c>
    </row>
    <row r="5" spans="1:53" s="624" customFormat="1" ht="13.5" x14ac:dyDescent="0.25">
      <c r="A5" s="306" t="s">
        <v>3</v>
      </c>
      <c r="B5" s="435">
        <v>10569</v>
      </c>
      <c r="C5" s="436">
        <v>9477</v>
      </c>
      <c r="D5" s="435"/>
      <c r="E5" s="436"/>
      <c r="F5" s="435">
        <v>242</v>
      </c>
      <c r="G5" s="436">
        <v>1974</v>
      </c>
      <c r="H5" s="435">
        <v>3375</v>
      </c>
      <c r="I5" s="436">
        <v>4809</v>
      </c>
      <c r="J5" s="435"/>
      <c r="K5" s="436"/>
      <c r="L5" s="435"/>
      <c r="M5" s="436"/>
      <c r="N5" s="435">
        <v>91</v>
      </c>
      <c r="O5" s="436"/>
      <c r="P5" s="435">
        <v>1546</v>
      </c>
      <c r="Q5" s="436">
        <v>38</v>
      </c>
      <c r="R5" s="435"/>
      <c r="S5" s="436"/>
      <c r="T5" s="435">
        <v>807</v>
      </c>
      <c r="U5" s="436">
        <v>380</v>
      </c>
      <c r="V5" s="435">
        <v>915</v>
      </c>
      <c r="W5" s="436">
        <v>1366</v>
      </c>
      <c r="X5" s="435">
        <v>58603</v>
      </c>
      <c r="Y5" s="436">
        <v>68121</v>
      </c>
      <c r="Z5" s="435">
        <v>6023</v>
      </c>
      <c r="AA5" s="629">
        <v>3292</v>
      </c>
      <c r="AB5" s="34"/>
      <c r="AC5" s="192"/>
      <c r="AD5" s="435">
        <v>1089</v>
      </c>
      <c r="AE5" s="436">
        <v>858</v>
      </c>
      <c r="AF5" s="435">
        <v>10090</v>
      </c>
      <c r="AG5" s="435">
        <v>194</v>
      </c>
      <c r="AH5" s="435">
        <v>943</v>
      </c>
      <c r="AI5" s="436">
        <v>3848</v>
      </c>
      <c r="AJ5" s="435"/>
      <c r="AK5" s="436"/>
      <c r="AL5" s="435"/>
      <c r="AM5" s="436"/>
      <c r="AN5" s="620">
        <v>292258</v>
      </c>
      <c r="AO5" s="621">
        <v>53723</v>
      </c>
      <c r="AP5" s="435"/>
      <c r="AQ5" s="436"/>
      <c r="AR5" s="435">
        <v>37</v>
      </c>
      <c r="AS5" s="436"/>
      <c r="AT5" s="435">
        <v>15249</v>
      </c>
      <c r="AU5" s="436">
        <v>9411</v>
      </c>
      <c r="AV5" s="434">
        <f t="shared" ref="AV5:AV14" si="0">SUM(B5+D5+F5+H5+J5+L5+N5+P5+R5+T5+V5+X5+Z5+P5+AD5+AF5+AH5+AJ5+AL5+AN5+AP5+AR5+AT5)</f>
        <v>403383</v>
      </c>
      <c r="AW5" s="630">
        <f t="shared" ref="AW5:AW14" si="1">SUM(C5+E5+G5+I5+K5+M5+O5+Q5+S5+U5+W5+Y5+AA5+Q5+AE5+AG5+AI5+AK5+AM5+AO5+AQ5+AS5+AU5)</f>
        <v>157529</v>
      </c>
      <c r="AX5" s="436">
        <v>759720</v>
      </c>
      <c r="AY5" s="436">
        <v>1790160</v>
      </c>
      <c r="AZ5" s="434">
        <f t="shared" ref="AZ5:AZ14" si="2">AV5+AX5</f>
        <v>1163103</v>
      </c>
      <c r="BA5" s="630">
        <f t="shared" ref="BA5:BA14" si="3">AW5+AY5</f>
        <v>1947689</v>
      </c>
    </row>
    <row r="6" spans="1:53" s="624" customFormat="1" ht="13.5" x14ac:dyDescent="0.25">
      <c r="A6" s="306" t="s">
        <v>4</v>
      </c>
      <c r="B6" s="10">
        <v>7835</v>
      </c>
      <c r="C6" s="13">
        <v>186959</v>
      </c>
      <c r="D6" s="28"/>
      <c r="E6" s="30"/>
      <c r="F6" s="28">
        <v>24069</v>
      </c>
      <c r="G6" s="30">
        <v>22723</v>
      </c>
      <c r="H6" s="28">
        <v>8681658</v>
      </c>
      <c r="I6" s="30">
        <v>12030558</v>
      </c>
      <c r="J6" s="28">
        <v>47881</v>
      </c>
      <c r="K6" s="30">
        <v>250475</v>
      </c>
      <c r="L6" s="28">
        <v>4488514</v>
      </c>
      <c r="M6" s="30">
        <v>3831268</v>
      </c>
      <c r="N6" s="28">
        <v>45</v>
      </c>
      <c r="O6" s="30">
        <v>1</v>
      </c>
      <c r="P6" s="28">
        <v>220236</v>
      </c>
      <c r="Q6" s="30">
        <v>310666</v>
      </c>
      <c r="R6" s="28">
        <v>425</v>
      </c>
      <c r="S6" s="30">
        <v>310</v>
      </c>
      <c r="T6" s="28">
        <v>50468</v>
      </c>
      <c r="U6" s="30">
        <v>8373</v>
      </c>
      <c r="V6" s="28">
        <v>18880855</v>
      </c>
      <c r="W6" s="30">
        <v>25090271</v>
      </c>
      <c r="X6" s="28">
        <v>1708394</v>
      </c>
      <c r="Y6" s="30">
        <v>1962381</v>
      </c>
      <c r="Z6" s="625">
        <v>15003</v>
      </c>
      <c r="AA6" s="626">
        <v>23559</v>
      </c>
      <c r="AB6" s="28">
        <v>199778</v>
      </c>
      <c r="AC6" s="30">
        <v>394086</v>
      </c>
      <c r="AD6" s="28">
        <v>3587000</v>
      </c>
      <c r="AE6" s="30">
        <v>4504280</v>
      </c>
      <c r="AF6" s="28">
        <v>2085667</v>
      </c>
      <c r="AG6" s="28">
        <v>2563932</v>
      </c>
      <c r="AH6" s="28">
        <v>951792</v>
      </c>
      <c r="AI6" s="30">
        <v>213058</v>
      </c>
      <c r="AJ6" s="28"/>
      <c r="AK6" s="30"/>
      <c r="AL6" s="28"/>
      <c r="AM6" s="30"/>
      <c r="AN6" s="622">
        <v>1055579</v>
      </c>
      <c r="AO6" s="623">
        <v>697256</v>
      </c>
      <c r="AP6" s="627"/>
      <c r="AQ6" s="628"/>
      <c r="AR6" s="26">
        <v>4576392</v>
      </c>
      <c r="AS6" s="27">
        <v>5652800</v>
      </c>
      <c r="AT6" s="28">
        <v>5795</v>
      </c>
      <c r="AU6" s="30">
        <v>8557</v>
      </c>
      <c r="AV6" s="12">
        <f t="shared" si="0"/>
        <v>46607844</v>
      </c>
      <c r="AW6" s="281">
        <f t="shared" si="1"/>
        <v>57668093</v>
      </c>
      <c r="AX6" s="27">
        <v>115284</v>
      </c>
      <c r="AY6" s="27">
        <v>75454</v>
      </c>
      <c r="AZ6" s="12">
        <f t="shared" si="2"/>
        <v>46723128</v>
      </c>
      <c r="BA6" s="281">
        <f t="shared" si="3"/>
        <v>57743547</v>
      </c>
    </row>
    <row r="7" spans="1:53" s="624" customFormat="1" ht="13.5" x14ac:dyDescent="0.25">
      <c r="A7" s="306" t="s">
        <v>5</v>
      </c>
      <c r="B7" s="10">
        <v>783229</v>
      </c>
      <c r="C7" s="13">
        <v>1123380</v>
      </c>
      <c r="D7" s="28">
        <v>34309</v>
      </c>
      <c r="E7" s="30">
        <v>4845</v>
      </c>
      <c r="F7" s="28"/>
      <c r="G7" s="30"/>
      <c r="H7" s="28">
        <v>100937</v>
      </c>
      <c r="I7" s="30">
        <v>266408</v>
      </c>
      <c r="J7" s="28">
        <v>247</v>
      </c>
      <c r="K7" s="30">
        <v>517</v>
      </c>
      <c r="L7" s="28">
        <v>9549</v>
      </c>
      <c r="M7" s="30">
        <v>20060</v>
      </c>
      <c r="N7" s="28">
        <v>759573</v>
      </c>
      <c r="O7" s="30">
        <v>39060</v>
      </c>
      <c r="P7" s="28"/>
      <c r="Q7" s="30"/>
      <c r="R7" s="28">
        <v>16</v>
      </c>
      <c r="S7" s="30">
        <v>2</v>
      </c>
      <c r="T7" s="28">
        <v>315</v>
      </c>
      <c r="U7" s="30">
        <v>50</v>
      </c>
      <c r="V7" s="28">
        <v>2523856</v>
      </c>
      <c r="W7" s="30">
        <v>4733087</v>
      </c>
      <c r="X7" s="28">
        <v>1518765</v>
      </c>
      <c r="Y7" s="30">
        <v>2190090</v>
      </c>
      <c r="Z7" s="625"/>
      <c r="AA7" s="626"/>
      <c r="AB7" s="28"/>
      <c r="AC7" s="30"/>
      <c r="AD7" s="28">
        <v>2064964</v>
      </c>
      <c r="AE7" s="30">
        <v>3975942</v>
      </c>
      <c r="AF7" s="28">
        <v>11319</v>
      </c>
      <c r="AG7" s="28">
        <v>14618</v>
      </c>
      <c r="AH7" s="28">
        <v>9344</v>
      </c>
      <c r="AI7" s="30">
        <v>21009</v>
      </c>
      <c r="AJ7" s="28"/>
      <c r="AK7" s="30"/>
      <c r="AL7" s="28"/>
      <c r="AM7" s="30"/>
      <c r="AN7" s="622">
        <v>10090</v>
      </c>
      <c r="AO7" s="623">
        <v>5406</v>
      </c>
      <c r="AP7" s="627">
        <v>1041105</v>
      </c>
      <c r="AQ7" s="628">
        <v>730524</v>
      </c>
      <c r="AR7" s="26"/>
      <c r="AS7" s="27"/>
      <c r="AT7" s="28"/>
      <c r="AU7" s="30">
        <v>1005</v>
      </c>
      <c r="AV7" s="12">
        <f t="shared" si="0"/>
        <v>8867618</v>
      </c>
      <c r="AW7" s="281">
        <f t="shared" si="1"/>
        <v>13126003</v>
      </c>
      <c r="AX7" s="27">
        <v>8322</v>
      </c>
      <c r="AY7" s="27">
        <v>611074</v>
      </c>
      <c r="AZ7" s="12">
        <f t="shared" si="2"/>
        <v>8875940</v>
      </c>
      <c r="BA7" s="281">
        <f t="shared" si="3"/>
        <v>13737077</v>
      </c>
    </row>
    <row r="8" spans="1:53" s="624" customFormat="1" ht="13.5" x14ac:dyDescent="0.25">
      <c r="A8" s="306" t="s">
        <v>6</v>
      </c>
      <c r="B8" s="10">
        <v>532445</v>
      </c>
      <c r="C8" s="13">
        <v>624528</v>
      </c>
      <c r="D8" s="28">
        <v>84845</v>
      </c>
      <c r="E8" s="30">
        <v>47493</v>
      </c>
      <c r="F8" s="28">
        <v>383103</v>
      </c>
      <c r="G8" s="30">
        <v>171266</v>
      </c>
      <c r="H8" s="28">
        <v>1020343</v>
      </c>
      <c r="I8" s="30">
        <v>392046</v>
      </c>
      <c r="J8" s="28">
        <v>390</v>
      </c>
      <c r="K8" s="30">
        <v>759</v>
      </c>
      <c r="L8" s="28">
        <v>341840</v>
      </c>
      <c r="M8" s="30">
        <v>95018</v>
      </c>
      <c r="N8" s="28">
        <v>217002</v>
      </c>
      <c r="O8" s="30">
        <v>131778</v>
      </c>
      <c r="P8" s="28">
        <v>30829</v>
      </c>
      <c r="Q8" s="30">
        <v>9853</v>
      </c>
      <c r="R8" s="28">
        <v>1491785</v>
      </c>
      <c r="S8" s="30">
        <v>1236059</v>
      </c>
      <c r="T8" s="28">
        <v>40720</v>
      </c>
      <c r="U8" s="30">
        <v>31691</v>
      </c>
      <c r="V8" s="28">
        <v>2713387</v>
      </c>
      <c r="W8" s="30">
        <v>4505586</v>
      </c>
      <c r="X8" s="28">
        <v>2472012</v>
      </c>
      <c r="Y8" s="30">
        <v>2329968</v>
      </c>
      <c r="Z8" s="625"/>
      <c r="AA8" s="626"/>
      <c r="AB8" s="28">
        <v>1066716</v>
      </c>
      <c r="AC8" s="30">
        <v>156704</v>
      </c>
      <c r="AD8" s="28">
        <v>601117</v>
      </c>
      <c r="AE8" s="30">
        <v>1393987</v>
      </c>
      <c r="AF8" s="28">
        <v>394130</v>
      </c>
      <c r="AG8" s="28">
        <v>66088</v>
      </c>
      <c r="AH8" s="28">
        <v>1357005</v>
      </c>
      <c r="AI8" s="30">
        <v>1353498</v>
      </c>
      <c r="AJ8" s="28">
        <v>2154</v>
      </c>
      <c r="AK8" s="30">
        <v>31392</v>
      </c>
      <c r="AL8" s="28"/>
      <c r="AM8" s="30"/>
      <c r="AN8" s="622">
        <v>451731</v>
      </c>
      <c r="AO8" s="623">
        <v>580477</v>
      </c>
      <c r="AP8" s="627">
        <v>358266</v>
      </c>
      <c r="AQ8" s="628">
        <v>193063</v>
      </c>
      <c r="AR8" s="26">
        <v>19870</v>
      </c>
      <c r="AS8" s="27">
        <v>28889</v>
      </c>
      <c r="AT8" s="28">
        <v>247477</v>
      </c>
      <c r="AU8" s="30">
        <v>650609</v>
      </c>
      <c r="AV8" s="12">
        <f t="shared" si="0"/>
        <v>12791280</v>
      </c>
      <c r="AW8" s="281">
        <f t="shared" si="1"/>
        <v>13883901</v>
      </c>
      <c r="AX8" s="27">
        <v>101506</v>
      </c>
      <c r="AY8" s="27">
        <v>577855</v>
      </c>
      <c r="AZ8" s="12">
        <f t="shared" si="2"/>
        <v>12892786</v>
      </c>
      <c r="BA8" s="281">
        <f t="shared" si="3"/>
        <v>14461756</v>
      </c>
    </row>
    <row r="9" spans="1:53" s="624" customFormat="1" ht="13.5" x14ac:dyDescent="0.25">
      <c r="A9" s="306" t="s">
        <v>7</v>
      </c>
      <c r="B9" s="10"/>
      <c r="C9" s="13"/>
      <c r="D9" s="28"/>
      <c r="E9" s="30"/>
      <c r="F9" s="28"/>
      <c r="G9" s="30"/>
      <c r="H9" s="28">
        <v>1612620</v>
      </c>
      <c r="I9" s="30">
        <v>1590467</v>
      </c>
      <c r="J9" s="28"/>
      <c r="K9" s="30"/>
      <c r="L9" s="28"/>
      <c r="M9" s="30"/>
      <c r="N9" s="28">
        <v>119456</v>
      </c>
      <c r="O9" s="30">
        <v>128617</v>
      </c>
      <c r="P9" s="28"/>
      <c r="Q9" s="30"/>
      <c r="R9" s="28"/>
      <c r="S9" s="30"/>
      <c r="T9" s="28"/>
      <c r="U9" s="30"/>
      <c r="V9" s="28">
        <v>276023</v>
      </c>
      <c r="W9" s="30">
        <v>699239</v>
      </c>
      <c r="X9" s="28">
        <v>105438</v>
      </c>
      <c r="Y9" s="30"/>
      <c r="Z9" s="625"/>
      <c r="AA9" s="626"/>
      <c r="AB9" s="28"/>
      <c r="AC9" s="30"/>
      <c r="AD9" s="28">
        <v>3009489</v>
      </c>
      <c r="AE9" s="30">
        <v>3324688</v>
      </c>
      <c r="AF9" s="28"/>
      <c r="AG9" s="30"/>
      <c r="AH9" s="28"/>
      <c r="AI9" s="30"/>
      <c r="AJ9" s="28"/>
      <c r="AK9" s="30"/>
      <c r="AL9" s="28"/>
      <c r="AM9" s="30"/>
      <c r="AN9" s="622"/>
      <c r="AO9" s="623"/>
      <c r="AP9" s="627"/>
      <c r="AQ9" s="628"/>
      <c r="AR9" s="26"/>
      <c r="AS9" s="27"/>
      <c r="AT9" s="28"/>
      <c r="AU9" s="30"/>
      <c r="AV9" s="12">
        <f t="shared" si="0"/>
        <v>5123026</v>
      </c>
      <c r="AW9" s="281">
        <f t="shared" si="1"/>
        <v>5743011</v>
      </c>
      <c r="AX9" s="27"/>
      <c r="AY9" s="27"/>
      <c r="AZ9" s="12">
        <f t="shared" si="2"/>
        <v>5123026</v>
      </c>
      <c r="BA9" s="281">
        <f t="shared" si="3"/>
        <v>5743011</v>
      </c>
    </row>
    <row r="10" spans="1:53" s="624" customFormat="1" ht="13.5" x14ac:dyDescent="0.25">
      <c r="A10" s="306" t="s">
        <v>8</v>
      </c>
      <c r="B10" s="10">
        <v>383828</v>
      </c>
      <c r="C10" s="13">
        <v>614265</v>
      </c>
      <c r="D10" s="28">
        <v>33476</v>
      </c>
      <c r="E10" s="30">
        <v>27899</v>
      </c>
      <c r="F10" s="28">
        <v>82677</v>
      </c>
      <c r="G10" s="30">
        <v>51844</v>
      </c>
      <c r="H10" s="28">
        <v>11741686</v>
      </c>
      <c r="I10" s="30">
        <v>13953891</v>
      </c>
      <c r="J10" s="28">
        <v>1875360</v>
      </c>
      <c r="K10" s="30">
        <v>243264</v>
      </c>
      <c r="L10" s="28">
        <v>59608</v>
      </c>
      <c r="M10" s="30">
        <v>91554</v>
      </c>
      <c r="N10" s="28">
        <v>1203520</v>
      </c>
      <c r="O10" s="30">
        <v>749710</v>
      </c>
      <c r="P10" s="28">
        <v>20255</v>
      </c>
      <c r="Q10" s="30">
        <v>30002</v>
      </c>
      <c r="R10" s="28">
        <v>50023</v>
      </c>
      <c r="S10" s="30">
        <v>-134300</v>
      </c>
      <c r="T10" s="28">
        <v>52128</v>
      </c>
      <c r="U10" s="30">
        <v>69261</v>
      </c>
      <c r="V10" s="28">
        <v>14390054</v>
      </c>
      <c r="W10" s="30">
        <v>18147233</v>
      </c>
      <c r="X10" s="28">
        <f>19825489+97</f>
        <v>19825586</v>
      </c>
      <c r="Y10" s="30">
        <v>26633125</v>
      </c>
      <c r="Z10" s="625">
        <v>2428</v>
      </c>
      <c r="AA10" s="626">
        <v>3684</v>
      </c>
      <c r="AB10" s="28">
        <v>2591273</v>
      </c>
      <c r="AC10" s="30">
        <v>4937106</v>
      </c>
      <c r="AD10" s="31">
        <v>6430268</v>
      </c>
      <c r="AE10" s="32">
        <v>7937739</v>
      </c>
      <c r="AF10" s="28">
        <v>1735318</v>
      </c>
      <c r="AG10" s="30">
        <v>1028047</v>
      </c>
      <c r="AH10" s="28">
        <v>224639</v>
      </c>
      <c r="AI10" s="30">
        <v>887481</v>
      </c>
      <c r="AJ10" s="28">
        <v>168923</v>
      </c>
      <c r="AK10" s="30">
        <v>190752</v>
      </c>
      <c r="AL10" s="28"/>
      <c r="AM10" s="30"/>
      <c r="AN10" s="622">
        <v>8847044</v>
      </c>
      <c r="AO10" s="623">
        <v>12351822</v>
      </c>
      <c r="AP10" s="627">
        <v>4481534</v>
      </c>
      <c r="AQ10" s="628">
        <v>5420521</v>
      </c>
      <c r="AR10" s="26">
        <v>5615</v>
      </c>
      <c r="AS10" s="27">
        <v>123430</v>
      </c>
      <c r="AT10" s="28">
        <v>347838</v>
      </c>
      <c r="AU10" s="30">
        <v>366105</v>
      </c>
      <c r="AV10" s="12">
        <f t="shared" si="0"/>
        <v>71982063</v>
      </c>
      <c r="AW10" s="281">
        <f t="shared" si="1"/>
        <v>88817331</v>
      </c>
      <c r="AX10" s="30">
        <v>30580116</v>
      </c>
      <c r="AY10" s="30">
        <v>28875555</v>
      </c>
      <c r="AZ10" s="12">
        <f t="shared" si="2"/>
        <v>102562179</v>
      </c>
      <c r="BA10" s="281">
        <f t="shared" si="3"/>
        <v>117692886</v>
      </c>
    </row>
    <row r="11" spans="1:53" s="624" customFormat="1" thickBot="1" x14ac:dyDescent="0.3">
      <c r="A11" s="306" t="s">
        <v>9</v>
      </c>
      <c r="B11" s="650"/>
      <c r="C11" s="651"/>
      <c r="D11" s="654"/>
      <c r="E11" s="655"/>
      <c r="F11" s="654"/>
      <c r="G11" s="655"/>
      <c r="H11" s="654"/>
      <c r="I11" s="655"/>
      <c r="J11" s="654"/>
      <c r="K11" s="655"/>
      <c r="L11" s="654"/>
      <c r="M11" s="655"/>
      <c r="N11" s="654"/>
      <c r="O11" s="655"/>
      <c r="P11" s="654"/>
      <c r="Q11" s="655"/>
      <c r="R11" s="654"/>
      <c r="S11" s="655"/>
      <c r="T11" s="654"/>
      <c r="U11" s="655"/>
      <c r="V11" s="654"/>
      <c r="W11" s="655"/>
      <c r="X11" s="654">
        <v>187</v>
      </c>
      <c r="Y11" s="655">
        <f>4949+2766+320831</f>
        <v>328546</v>
      </c>
      <c r="Z11" s="656"/>
      <c r="AA11" s="657"/>
      <c r="AB11" s="654"/>
      <c r="AC11" s="655"/>
      <c r="AD11" s="579"/>
      <c r="AE11" s="580"/>
      <c r="AF11" s="654"/>
      <c r="AG11" s="655"/>
      <c r="AH11" s="654"/>
      <c r="AI11" s="655"/>
      <c r="AJ11" s="654"/>
      <c r="AK11" s="655"/>
      <c r="AL11" s="654"/>
      <c r="AM11" s="655"/>
      <c r="AN11" s="658"/>
      <c r="AO11" s="659"/>
      <c r="AP11" s="660"/>
      <c r="AQ11" s="661"/>
      <c r="AR11" s="662"/>
      <c r="AS11" s="663"/>
      <c r="AT11" s="654"/>
      <c r="AU11" s="655"/>
      <c r="AV11" s="591">
        <f t="shared" si="0"/>
        <v>187</v>
      </c>
      <c r="AW11" s="577">
        <f t="shared" si="1"/>
        <v>328546</v>
      </c>
      <c r="AX11" s="654"/>
      <c r="AY11" s="655"/>
      <c r="AZ11" s="591">
        <f t="shared" si="2"/>
        <v>187</v>
      </c>
      <c r="BA11" s="577">
        <f t="shared" si="3"/>
        <v>328546</v>
      </c>
    </row>
    <row r="12" spans="1:53" s="378" customFormat="1" ht="15" thickBot="1" x14ac:dyDescent="0.35">
      <c r="A12" s="631" t="s">
        <v>10</v>
      </c>
      <c r="B12" s="566">
        <f t="shared" ref="B12:AG12" si="4">SUM(B5:B11)</f>
        <v>1717906</v>
      </c>
      <c r="C12" s="567">
        <f t="shared" si="4"/>
        <v>2558609</v>
      </c>
      <c r="D12" s="566">
        <f t="shared" si="4"/>
        <v>152630</v>
      </c>
      <c r="E12" s="567">
        <f t="shared" si="4"/>
        <v>80237</v>
      </c>
      <c r="F12" s="566">
        <f t="shared" si="4"/>
        <v>490091</v>
      </c>
      <c r="G12" s="567">
        <f t="shared" si="4"/>
        <v>247807</v>
      </c>
      <c r="H12" s="566">
        <f t="shared" si="4"/>
        <v>23160619</v>
      </c>
      <c r="I12" s="567">
        <f t="shared" si="4"/>
        <v>28238179</v>
      </c>
      <c r="J12" s="566">
        <f t="shared" si="4"/>
        <v>1923878</v>
      </c>
      <c r="K12" s="567">
        <f t="shared" si="4"/>
        <v>495015</v>
      </c>
      <c r="L12" s="566">
        <f t="shared" si="4"/>
        <v>4899511</v>
      </c>
      <c r="M12" s="567">
        <f t="shared" si="4"/>
        <v>4037900</v>
      </c>
      <c r="N12" s="566">
        <f t="shared" si="4"/>
        <v>2299687</v>
      </c>
      <c r="O12" s="567">
        <f t="shared" si="4"/>
        <v>1049166</v>
      </c>
      <c r="P12" s="566">
        <f>SUM(P5:P11)</f>
        <v>272866</v>
      </c>
      <c r="Q12" s="567">
        <f>SUM(Q5:Q11)</f>
        <v>350559</v>
      </c>
      <c r="R12" s="566">
        <f t="shared" si="4"/>
        <v>1542249</v>
      </c>
      <c r="S12" s="567">
        <f t="shared" si="4"/>
        <v>1102071</v>
      </c>
      <c r="T12" s="566">
        <f t="shared" si="4"/>
        <v>144438</v>
      </c>
      <c r="U12" s="567">
        <f t="shared" si="4"/>
        <v>109755</v>
      </c>
      <c r="V12" s="566">
        <f t="shared" si="4"/>
        <v>38785090</v>
      </c>
      <c r="W12" s="567">
        <f t="shared" si="4"/>
        <v>53176782</v>
      </c>
      <c r="X12" s="566">
        <f t="shared" si="4"/>
        <v>25688985</v>
      </c>
      <c r="Y12" s="567">
        <f t="shared" si="4"/>
        <v>33512231</v>
      </c>
      <c r="Z12" s="566">
        <f t="shared" si="4"/>
        <v>23454</v>
      </c>
      <c r="AA12" s="652">
        <f t="shared" si="4"/>
        <v>30535</v>
      </c>
      <c r="AB12" s="566">
        <f t="shared" si="4"/>
        <v>3857767</v>
      </c>
      <c r="AC12" s="567">
        <f t="shared" si="4"/>
        <v>5487896</v>
      </c>
      <c r="AD12" s="566">
        <f t="shared" si="4"/>
        <v>15693927</v>
      </c>
      <c r="AE12" s="567">
        <f t="shared" si="4"/>
        <v>21137494</v>
      </c>
      <c r="AF12" s="566">
        <f t="shared" si="4"/>
        <v>4236524</v>
      </c>
      <c r="AG12" s="567">
        <f t="shared" si="4"/>
        <v>3672879</v>
      </c>
      <c r="AH12" s="566">
        <f t="shared" ref="AH12:AU12" si="5">SUM(AH5:AH11)</f>
        <v>2543723</v>
      </c>
      <c r="AI12" s="567">
        <f t="shared" si="5"/>
        <v>2478894</v>
      </c>
      <c r="AJ12" s="566">
        <f t="shared" si="5"/>
        <v>171077</v>
      </c>
      <c r="AK12" s="567">
        <f t="shared" si="5"/>
        <v>222144</v>
      </c>
      <c r="AL12" s="566">
        <f t="shared" si="5"/>
        <v>0</v>
      </c>
      <c r="AM12" s="567">
        <f t="shared" si="5"/>
        <v>0</v>
      </c>
      <c r="AN12" s="566">
        <f t="shared" si="5"/>
        <v>10656702</v>
      </c>
      <c r="AO12" s="567">
        <f t="shared" si="5"/>
        <v>13688684</v>
      </c>
      <c r="AP12" s="566">
        <f t="shared" si="5"/>
        <v>5880905</v>
      </c>
      <c r="AQ12" s="567">
        <f t="shared" si="5"/>
        <v>6344108</v>
      </c>
      <c r="AR12" s="566">
        <f t="shared" si="5"/>
        <v>4601914</v>
      </c>
      <c r="AS12" s="567">
        <f t="shared" si="5"/>
        <v>5805119</v>
      </c>
      <c r="AT12" s="566">
        <f t="shared" si="5"/>
        <v>616359</v>
      </c>
      <c r="AU12" s="567">
        <f t="shared" si="5"/>
        <v>1035687</v>
      </c>
      <c r="AV12" s="568">
        <f t="shared" si="0"/>
        <v>145775401</v>
      </c>
      <c r="AW12" s="653">
        <f t="shared" si="1"/>
        <v>179724414</v>
      </c>
      <c r="AX12" s="572">
        <f>SUM(AX5:AX11)</f>
        <v>31564948</v>
      </c>
      <c r="AY12" s="573">
        <f>SUM(AY5:AY11)</f>
        <v>31930098</v>
      </c>
      <c r="AZ12" s="568">
        <f t="shared" si="2"/>
        <v>177340349</v>
      </c>
      <c r="BA12" s="653">
        <f t="shared" si="3"/>
        <v>211654512</v>
      </c>
    </row>
    <row r="13" spans="1:53" ht="15" thickBot="1" x14ac:dyDescent="0.35">
      <c r="A13" s="299" t="s">
        <v>11</v>
      </c>
      <c r="B13" s="664"/>
      <c r="C13" s="665"/>
      <c r="D13" s="666"/>
      <c r="E13" s="667"/>
      <c r="F13" s="666"/>
      <c r="G13" s="667"/>
      <c r="H13" s="666"/>
      <c r="I13" s="667"/>
      <c r="J13" s="668"/>
      <c r="K13" s="669"/>
      <c r="L13" s="666"/>
      <c r="M13" s="667"/>
      <c r="N13" s="666"/>
      <c r="O13" s="667"/>
      <c r="P13" s="666"/>
      <c r="Q13" s="667"/>
      <c r="R13" s="666"/>
      <c r="S13" s="667"/>
      <c r="T13" s="666"/>
      <c r="U13" s="667"/>
      <c r="V13" s="666"/>
      <c r="W13" s="667"/>
      <c r="X13" s="666"/>
      <c r="Y13" s="667"/>
      <c r="Z13" s="666"/>
      <c r="AA13" s="670"/>
      <c r="AB13" s="671"/>
      <c r="AC13" s="672"/>
      <c r="AD13" s="666"/>
      <c r="AE13" s="667"/>
      <c r="AF13" s="666"/>
      <c r="AG13" s="667"/>
      <c r="AH13" s="666"/>
      <c r="AI13" s="667"/>
      <c r="AJ13" s="666"/>
      <c r="AK13" s="667"/>
      <c r="AL13" s="668"/>
      <c r="AM13" s="669"/>
      <c r="AN13" s="673"/>
      <c r="AO13" s="674"/>
      <c r="AP13" s="675"/>
      <c r="AQ13" s="676"/>
      <c r="AR13" s="677">
        <v>0</v>
      </c>
      <c r="AS13" s="678"/>
      <c r="AT13" s="666"/>
      <c r="AU13" s="667"/>
      <c r="AV13" s="679">
        <f t="shared" si="0"/>
        <v>0</v>
      </c>
      <c r="AW13" s="680">
        <f t="shared" si="1"/>
        <v>0</v>
      </c>
      <c r="AX13" s="677"/>
      <c r="AY13" s="678"/>
      <c r="AZ13" s="679">
        <f t="shared" si="2"/>
        <v>0</v>
      </c>
      <c r="BA13" s="680">
        <f t="shared" si="3"/>
        <v>0</v>
      </c>
    </row>
    <row r="14" spans="1:53" s="378" customFormat="1" ht="15" thickBot="1" x14ac:dyDescent="0.35">
      <c r="A14" s="631" t="s">
        <v>12</v>
      </c>
      <c r="B14" s="566">
        <f t="shared" ref="B14:AG14" si="6">B12+B13</f>
        <v>1717906</v>
      </c>
      <c r="C14" s="567">
        <f t="shared" si="6"/>
        <v>2558609</v>
      </c>
      <c r="D14" s="566">
        <f t="shared" si="6"/>
        <v>152630</v>
      </c>
      <c r="E14" s="567">
        <f t="shared" si="6"/>
        <v>80237</v>
      </c>
      <c r="F14" s="566">
        <f t="shared" si="6"/>
        <v>490091</v>
      </c>
      <c r="G14" s="567">
        <f t="shared" si="6"/>
        <v>247807</v>
      </c>
      <c r="H14" s="566">
        <f t="shared" si="6"/>
        <v>23160619</v>
      </c>
      <c r="I14" s="567">
        <f t="shared" si="6"/>
        <v>28238179</v>
      </c>
      <c r="J14" s="566">
        <f t="shared" si="6"/>
        <v>1923878</v>
      </c>
      <c r="K14" s="567">
        <f t="shared" si="6"/>
        <v>495015</v>
      </c>
      <c r="L14" s="566">
        <f t="shared" si="6"/>
        <v>4899511</v>
      </c>
      <c r="M14" s="567">
        <f t="shared" si="6"/>
        <v>4037900</v>
      </c>
      <c r="N14" s="566">
        <f t="shared" si="6"/>
        <v>2299687</v>
      </c>
      <c r="O14" s="567">
        <f t="shared" si="6"/>
        <v>1049166</v>
      </c>
      <c r="P14" s="566">
        <f>P12+P13</f>
        <v>272866</v>
      </c>
      <c r="Q14" s="567">
        <f>Q12+Q13</f>
        <v>350559</v>
      </c>
      <c r="R14" s="566">
        <f t="shared" si="6"/>
        <v>1542249</v>
      </c>
      <c r="S14" s="567">
        <f t="shared" si="6"/>
        <v>1102071</v>
      </c>
      <c r="T14" s="566">
        <f t="shared" si="6"/>
        <v>144438</v>
      </c>
      <c r="U14" s="567">
        <f t="shared" si="6"/>
        <v>109755</v>
      </c>
      <c r="V14" s="566">
        <f t="shared" si="6"/>
        <v>38785090</v>
      </c>
      <c r="W14" s="567">
        <f t="shared" si="6"/>
        <v>53176782</v>
      </c>
      <c r="X14" s="566">
        <f t="shared" si="6"/>
        <v>25688985</v>
      </c>
      <c r="Y14" s="567">
        <f t="shared" si="6"/>
        <v>33512231</v>
      </c>
      <c r="Z14" s="566">
        <f t="shared" si="6"/>
        <v>23454</v>
      </c>
      <c r="AA14" s="652">
        <f t="shared" si="6"/>
        <v>30535</v>
      </c>
      <c r="AB14" s="566">
        <f t="shared" si="6"/>
        <v>3857767</v>
      </c>
      <c r="AC14" s="567">
        <f t="shared" si="6"/>
        <v>5487896</v>
      </c>
      <c r="AD14" s="566">
        <f t="shared" si="6"/>
        <v>15693927</v>
      </c>
      <c r="AE14" s="567">
        <f t="shared" si="6"/>
        <v>21137494</v>
      </c>
      <c r="AF14" s="566">
        <f t="shared" si="6"/>
        <v>4236524</v>
      </c>
      <c r="AG14" s="567">
        <f t="shared" si="6"/>
        <v>3672879</v>
      </c>
      <c r="AH14" s="566">
        <f t="shared" ref="AH14:AU14" si="7">AH12+AH13</f>
        <v>2543723</v>
      </c>
      <c r="AI14" s="567">
        <f t="shared" si="7"/>
        <v>2478894</v>
      </c>
      <c r="AJ14" s="566">
        <f t="shared" si="7"/>
        <v>171077</v>
      </c>
      <c r="AK14" s="567">
        <f t="shared" si="7"/>
        <v>222144</v>
      </c>
      <c r="AL14" s="566">
        <f t="shared" si="7"/>
        <v>0</v>
      </c>
      <c r="AM14" s="567">
        <f t="shared" si="7"/>
        <v>0</v>
      </c>
      <c r="AN14" s="566">
        <f t="shared" si="7"/>
        <v>10656702</v>
      </c>
      <c r="AO14" s="567">
        <f t="shared" si="7"/>
        <v>13688684</v>
      </c>
      <c r="AP14" s="566">
        <f t="shared" si="7"/>
        <v>5880905</v>
      </c>
      <c r="AQ14" s="567">
        <f t="shared" si="7"/>
        <v>6344108</v>
      </c>
      <c r="AR14" s="566">
        <f t="shared" si="7"/>
        <v>4601914</v>
      </c>
      <c r="AS14" s="567">
        <f t="shared" si="7"/>
        <v>5805119</v>
      </c>
      <c r="AT14" s="566">
        <f t="shared" si="7"/>
        <v>616359</v>
      </c>
      <c r="AU14" s="567">
        <f t="shared" si="7"/>
        <v>1035687</v>
      </c>
      <c r="AV14" s="568">
        <f t="shared" si="0"/>
        <v>145775401</v>
      </c>
      <c r="AW14" s="653">
        <f t="shared" si="1"/>
        <v>179724414</v>
      </c>
      <c r="AX14" s="572">
        <f>AX12+AX13</f>
        <v>31564948</v>
      </c>
      <c r="AY14" s="573">
        <f>AY12+AY13</f>
        <v>31930098</v>
      </c>
      <c r="AZ14" s="568">
        <f t="shared" si="2"/>
        <v>177340349</v>
      </c>
      <c r="BA14" s="653">
        <f t="shared" si="3"/>
        <v>211654512</v>
      </c>
    </row>
  </sheetData>
  <mergeCells count="29">
    <mergeCell ref="AZ3:BA3"/>
    <mergeCell ref="AX3:AY3"/>
    <mergeCell ref="AT3:AU3"/>
    <mergeCell ref="AV3:AW3"/>
    <mergeCell ref="B3:C3"/>
    <mergeCell ref="D3:E3"/>
    <mergeCell ref="F3:G3"/>
    <mergeCell ref="H3:I3"/>
    <mergeCell ref="J3:K3"/>
    <mergeCell ref="L3:M3"/>
    <mergeCell ref="T3:U3"/>
    <mergeCell ref="V3:W3"/>
    <mergeCell ref="X3:Y3"/>
    <mergeCell ref="Z3:AA3"/>
    <mergeCell ref="AN3:AO3"/>
    <mergeCell ref="AL3:AM3"/>
    <mergeCell ref="AJ3:AK3"/>
    <mergeCell ref="AH3:AI3"/>
    <mergeCell ref="AF3:AG3"/>
    <mergeCell ref="R3:S3"/>
    <mergeCell ref="A1:AY1"/>
    <mergeCell ref="A2:AY2"/>
    <mergeCell ref="A3:A4"/>
    <mergeCell ref="N3:O3"/>
    <mergeCell ref="P3:Q3"/>
    <mergeCell ref="AP3:AQ3"/>
    <mergeCell ref="AR3:AS3"/>
    <mergeCell ref="AB3:AC3"/>
    <mergeCell ref="AD3:AE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59999389629810485"/>
  </sheetPr>
  <dimension ref="A1:BA21"/>
  <sheetViews>
    <sheetView workbookViewId="0">
      <pane xSplit="1" topLeftCell="AT1" activePane="topRight" state="frozen"/>
      <selection pane="topRight" activeCell="A12" sqref="A12"/>
    </sheetView>
  </sheetViews>
  <sheetFormatPr defaultColWidth="19.85546875" defaultRowHeight="16.5" x14ac:dyDescent="0.3"/>
  <cols>
    <col min="1" max="1" width="86.42578125" style="61" bestFit="1" customWidth="1"/>
    <col min="2" max="53" width="12.42578125" style="61" bestFit="1" customWidth="1"/>
    <col min="54" max="16384" width="19.85546875" style="61"/>
  </cols>
  <sheetData>
    <row r="1" spans="1:53" ht="17.25" x14ac:dyDescent="0.35">
      <c r="A1" s="689" t="s">
        <v>300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89"/>
      <c r="AC1" s="689"/>
      <c r="AD1" s="689"/>
      <c r="AE1" s="689"/>
      <c r="AF1" s="689"/>
      <c r="AG1" s="689"/>
      <c r="AH1" s="689"/>
      <c r="AI1" s="689"/>
      <c r="AJ1" s="689"/>
      <c r="AK1" s="689"/>
      <c r="AL1" s="689"/>
      <c r="AM1" s="689"/>
      <c r="AN1" s="689"/>
      <c r="AO1" s="689"/>
      <c r="AP1" s="689"/>
      <c r="AQ1" s="689"/>
      <c r="AR1" s="689"/>
      <c r="AS1" s="689"/>
      <c r="AT1" s="689"/>
      <c r="AU1" s="689"/>
      <c r="AV1" s="689"/>
      <c r="AW1" s="689"/>
      <c r="AX1" s="689"/>
      <c r="AY1" s="689"/>
    </row>
    <row r="2" spans="1:53" s="515" customFormat="1" ht="18" thickBot="1" x14ac:dyDescent="0.4">
      <c r="A2" s="690" t="s">
        <v>156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  <c r="O2" s="690"/>
      <c r="P2" s="690"/>
      <c r="Q2" s="690"/>
      <c r="R2" s="690"/>
      <c r="S2" s="690"/>
      <c r="T2" s="690"/>
      <c r="U2" s="690"/>
      <c r="V2" s="690"/>
      <c r="W2" s="690"/>
      <c r="X2" s="690"/>
      <c r="Y2" s="690"/>
      <c r="Z2" s="690"/>
      <c r="AA2" s="690"/>
      <c r="AB2" s="690"/>
      <c r="AC2" s="690"/>
      <c r="AD2" s="690"/>
      <c r="AE2" s="690"/>
      <c r="AF2" s="690"/>
      <c r="AG2" s="690"/>
      <c r="AH2" s="690"/>
      <c r="AI2" s="690"/>
      <c r="AJ2" s="690"/>
      <c r="AK2" s="690"/>
      <c r="AL2" s="690"/>
      <c r="AM2" s="690"/>
      <c r="AN2" s="690"/>
      <c r="AO2" s="690"/>
      <c r="AP2" s="690"/>
      <c r="AQ2" s="690"/>
      <c r="AR2" s="690"/>
      <c r="AS2" s="690"/>
      <c r="AT2" s="690"/>
      <c r="AU2" s="690"/>
      <c r="AV2" s="690"/>
      <c r="AW2" s="690"/>
      <c r="AX2" s="690"/>
      <c r="AY2" s="690"/>
    </row>
    <row r="3" spans="1:53" s="649" customFormat="1" ht="39" customHeight="1" thickBot="1" x14ac:dyDescent="0.35">
      <c r="A3" s="691" t="s">
        <v>14</v>
      </c>
      <c r="B3" s="1418" t="s">
        <v>158</v>
      </c>
      <c r="C3" s="1422"/>
      <c r="D3" s="1418" t="s">
        <v>159</v>
      </c>
      <c r="E3" s="1419"/>
      <c r="F3" s="1418" t="s">
        <v>160</v>
      </c>
      <c r="G3" s="1419"/>
      <c r="H3" s="1418" t="s">
        <v>161</v>
      </c>
      <c r="I3" s="1422"/>
      <c r="J3" s="1418" t="s">
        <v>162</v>
      </c>
      <c r="K3" s="1419"/>
      <c r="L3" s="1418" t="s">
        <v>163</v>
      </c>
      <c r="M3" s="1422"/>
      <c r="N3" s="1418" t="s">
        <v>312</v>
      </c>
      <c r="O3" s="1419"/>
      <c r="P3" s="1418" t="s">
        <v>164</v>
      </c>
      <c r="Q3" s="1419"/>
      <c r="R3" s="1418" t="s">
        <v>165</v>
      </c>
      <c r="S3" s="1419"/>
      <c r="T3" s="1418" t="s">
        <v>166</v>
      </c>
      <c r="U3" s="1422"/>
      <c r="V3" s="1418" t="s">
        <v>167</v>
      </c>
      <c r="W3" s="1419"/>
      <c r="X3" s="1418" t="s">
        <v>168</v>
      </c>
      <c r="Y3" s="1419"/>
      <c r="Z3" s="1418" t="s">
        <v>383</v>
      </c>
      <c r="AA3" s="1419"/>
      <c r="AB3" s="1418" t="s">
        <v>169</v>
      </c>
      <c r="AC3" s="1419"/>
      <c r="AD3" s="1420" t="s">
        <v>170</v>
      </c>
      <c r="AE3" s="1421"/>
      <c r="AF3" s="1418" t="s">
        <v>171</v>
      </c>
      <c r="AG3" s="1419"/>
      <c r="AH3" s="1418" t="s">
        <v>172</v>
      </c>
      <c r="AI3" s="1419"/>
      <c r="AJ3" s="1418" t="s">
        <v>173</v>
      </c>
      <c r="AK3" s="1419"/>
      <c r="AL3" s="1420" t="s">
        <v>174</v>
      </c>
      <c r="AM3" s="1421"/>
      <c r="AN3" s="1418" t="s">
        <v>175</v>
      </c>
      <c r="AO3" s="1419"/>
      <c r="AP3" s="1418" t="s">
        <v>176</v>
      </c>
      <c r="AQ3" s="1419"/>
      <c r="AR3" s="1418" t="s">
        <v>177</v>
      </c>
      <c r="AS3" s="1419"/>
      <c r="AT3" s="1418" t="s">
        <v>178</v>
      </c>
      <c r="AU3" s="1419"/>
      <c r="AV3" s="1418" t="s">
        <v>1</v>
      </c>
      <c r="AW3" s="1422"/>
      <c r="AX3" s="1420" t="s">
        <v>179</v>
      </c>
      <c r="AY3" s="1421"/>
      <c r="AZ3" s="1420" t="s">
        <v>2</v>
      </c>
      <c r="BA3" s="1421"/>
    </row>
    <row r="4" spans="1:53" s="381" customFormat="1" ht="17.25" thickBot="1" x14ac:dyDescent="0.35">
      <c r="A4" s="692"/>
      <c r="B4" s="996" t="s">
        <v>380</v>
      </c>
      <c r="C4" s="997" t="s">
        <v>423</v>
      </c>
      <c r="D4" s="996" t="s">
        <v>380</v>
      </c>
      <c r="E4" s="997" t="s">
        <v>423</v>
      </c>
      <c r="F4" s="998" t="s">
        <v>380</v>
      </c>
      <c r="G4" s="997" t="s">
        <v>423</v>
      </c>
      <c r="H4" s="998" t="s">
        <v>380</v>
      </c>
      <c r="I4" s="997" t="s">
        <v>423</v>
      </c>
      <c r="J4" s="998" t="s">
        <v>380</v>
      </c>
      <c r="K4" s="997" t="s">
        <v>423</v>
      </c>
      <c r="L4" s="998" t="s">
        <v>380</v>
      </c>
      <c r="M4" s="999" t="s">
        <v>423</v>
      </c>
      <c r="N4" s="996" t="s">
        <v>380</v>
      </c>
      <c r="O4" s="997" t="s">
        <v>423</v>
      </c>
      <c r="P4" s="998" t="s">
        <v>380</v>
      </c>
      <c r="Q4" s="997" t="s">
        <v>423</v>
      </c>
      <c r="R4" s="998" t="s">
        <v>380</v>
      </c>
      <c r="S4" s="997" t="s">
        <v>423</v>
      </c>
      <c r="T4" s="998" t="s">
        <v>380</v>
      </c>
      <c r="U4" s="997" t="s">
        <v>423</v>
      </c>
      <c r="V4" s="998" t="s">
        <v>380</v>
      </c>
      <c r="W4" s="997" t="s">
        <v>423</v>
      </c>
      <c r="X4" s="998" t="s">
        <v>380</v>
      </c>
      <c r="Y4" s="999" t="s">
        <v>423</v>
      </c>
      <c r="Z4" s="996" t="s">
        <v>380</v>
      </c>
      <c r="AA4" s="997" t="s">
        <v>423</v>
      </c>
      <c r="AB4" s="998" t="s">
        <v>380</v>
      </c>
      <c r="AC4" s="997" t="s">
        <v>423</v>
      </c>
      <c r="AD4" s="998" t="s">
        <v>380</v>
      </c>
      <c r="AE4" s="997" t="s">
        <v>423</v>
      </c>
      <c r="AF4" s="998" t="s">
        <v>380</v>
      </c>
      <c r="AG4" s="997" t="s">
        <v>423</v>
      </c>
      <c r="AH4" s="998" t="s">
        <v>380</v>
      </c>
      <c r="AI4" s="997" t="s">
        <v>423</v>
      </c>
      <c r="AJ4" s="998" t="s">
        <v>380</v>
      </c>
      <c r="AK4" s="999" t="s">
        <v>423</v>
      </c>
      <c r="AL4" s="996" t="s">
        <v>380</v>
      </c>
      <c r="AM4" s="997" t="s">
        <v>423</v>
      </c>
      <c r="AN4" s="998" t="s">
        <v>380</v>
      </c>
      <c r="AO4" s="997" t="s">
        <v>423</v>
      </c>
      <c r="AP4" s="998" t="s">
        <v>380</v>
      </c>
      <c r="AQ4" s="997" t="s">
        <v>423</v>
      </c>
      <c r="AR4" s="998" t="s">
        <v>380</v>
      </c>
      <c r="AS4" s="997" t="s">
        <v>423</v>
      </c>
      <c r="AT4" s="998" t="s">
        <v>380</v>
      </c>
      <c r="AU4" s="997" t="s">
        <v>423</v>
      </c>
      <c r="AV4" s="998" t="s">
        <v>380</v>
      </c>
      <c r="AW4" s="999" t="s">
        <v>423</v>
      </c>
      <c r="AX4" s="998" t="s">
        <v>380</v>
      </c>
      <c r="AY4" s="997" t="s">
        <v>423</v>
      </c>
      <c r="AZ4" s="996" t="s">
        <v>380</v>
      </c>
      <c r="BA4" s="997" t="s">
        <v>423</v>
      </c>
    </row>
    <row r="5" spans="1:53" ht="17.25" x14ac:dyDescent="0.35">
      <c r="A5" s="212" t="s">
        <v>3</v>
      </c>
      <c r="B5" s="344">
        <v>872.18</v>
      </c>
      <c r="C5" s="345">
        <v>950.54</v>
      </c>
      <c r="D5" s="346">
        <v>-0.08</v>
      </c>
      <c r="E5" s="349">
        <v>-0.03</v>
      </c>
      <c r="F5" s="347">
        <v>46.95</v>
      </c>
      <c r="G5" s="349">
        <v>53.5</v>
      </c>
      <c r="H5" s="347">
        <v>1053.32</v>
      </c>
      <c r="I5" s="348">
        <v>1429.15</v>
      </c>
      <c r="J5" s="346">
        <v>290.22000000000003</v>
      </c>
      <c r="K5" s="349">
        <v>326.88</v>
      </c>
      <c r="L5" s="347">
        <v>3.54</v>
      </c>
      <c r="M5" s="348">
        <v>4.26</v>
      </c>
      <c r="N5" s="346">
        <v>48.29</v>
      </c>
      <c r="O5" s="349">
        <v>50.97</v>
      </c>
      <c r="P5" s="350">
        <v>203.14</v>
      </c>
      <c r="Q5" s="351">
        <v>82.21</v>
      </c>
      <c r="R5" s="37">
        <v>427.37</v>
      </c>
      <c r="S5" s="45">
        <v>578.20000000000005</v>
      </c>
      <c r="T5" s="37">
        <v>32.06</v>
      </c>
      <c r="U5" s="541">
        <v>38.93</v>
      </c>
      <c r="V5" s="1064">
        <v>1238.02</v>
      </c>
      <c r="W5" s="45">
        <v>1538.49</v>
      </c>
      <c r="X5" s="37">
        <v>1937</v>
      </c>
      <c r="Y5" s="541">
        <v>2565.64</v>
      </c>
      <c r="Z5" s="544">
        <v>28.73</v>
      </c>
      <c r="AA5" s="352">
        <v>32.270000000000003</v>
      </c>
      <c r="AB5" s="347">
        <v>23.11</v>
      </c>
      <c r="AC5" s="348">
        <v>43.36</v>
      </c>
      <c r="AD5" s="346">
        <v>498.81</v>
      </c>
      <c r="AE5" s="349">
        <v>506.8</v>
      </c>
      <c r="AF5" s="347">
        <v>1570.16</v>
      </c>
      <c r="AG5" s="348">
        <v>1631.29</v>
      </c>
      <c r="AH5" s="346">
        <v>61.79</v>
      </c>
      <c r="AI5" s="349">
        <v>87.4</v>
      </c>
      <c r="AJ5" s="348">
        <v>356.09</v>
      </c>
      <c r="AK5" s="347">
        <v>402.01</v>
      </c>
      <c r="AL5" s="348"/>
      <c r="AM5" s="349"/>
      <c r="AN5" s="1267">
        <v>3458.14</v>
      </c>
      <c r="AO5" s="1268">
        <v>4393.33</v>
      </c>
      <c r="AP5" s="722">
        <v>34.299999999999997</v>
      </c>
      <c r="AQ5" s="353">
        <v>33.32</v>
      </c>
      <c r="AR5" s="354">
        <v>-7.0000000000000007E-2</v>
      </c>
      <c r="AS5" s="546">
        <v>0.2</v>
      </c>
      <c r="AT5" s="346">
        <v>1014.48</v>
      </c>
      <c r="AU5" s="349">
        <v>1256.1600000000001</v>
      </c>
      <c r="AV5" s="356">
        <f t="shared" ref="AV5:AV20" si="0">SUM(B5+D5+F5+H5+J5+L5+N5+P5+R5+T5+V5+X5+Z5+AB5+AD5+AF5+AH5+AJ5+AL5+AN5+AP5+AR5+AT5)</f>
        <v>13197.55</v>
      </c>
      <c r="AW5" s="729">
        <f t="shared" ref="AW5:AW20" si="1">SUM(C5+E5+G5+I5+K5+M5+O5+Q5+S5+U5+W5+Y5+AA5+AC5+AE5+AG5+AI5+AK5+AM5+AO5+AQ5+AS5+AU5)</f>
        <v>16004.88</v>
      </c>
      <c r="AX5" s="357">
        <v>52909.96</v>
      </c>
      <c r="AY5" s="355">
        <v>52789.43</v>
      </c>
      <c r="AZ5" s="1250">
        <f t="shared" ref="AZ5:AZ20" si="2">AV5+AX5</f>
        <v>66107.509999999995</v>
      </c>
      <c r="BA5" s="358">
        <f t="shared" ref="BA5:BA20" si="3">AW5+AY5</f>
        <v>68794.31</v>
      </c>
    </row>
    <row r="6" spans="1:53" ht="17.25" x14ac:dyDescent="0.35">
      <c r="A6" s="96" t="s">
        <v>4</v>
      </c>
      <c r="B6" s="62">
        <v>1094</v>
      </c>
      <c r="C6" s="63">
        <v>1332.66</v>
      </c>
      <c r="D6" s="64"/>
      <c r="E6" s="67"/>
      <c r="F6" s="65">
        <v>43.11</v>
      </c>
      <c r="G6" s="67">
        <v>58.99</v>
      </c>
      <c r="H6" s="65">
        <v>816.25</v>
      </c>
      <c r="I6" s="66">
        <v>1614.09</v>
      </c>
      <c r="J6" s="64">
        <v>38.01</v>
      </c>
      <c r="K6" s="67">
        <v>53.68</v>
      </c>
      <c r="L6" s="65">
        <v>1364.91</v>
      </c>
      <c r="M6" s="66">
        <v>1662.62</v>
      </c>
      <c r="N6" s="64">
        <v>1.6</v>
      </c>
      <c r="O6" s="67">
        <v>0.01</v>
      </c>
      <c r="P6" s="68">
        <v>62.35</v>
      </c>
      <c r="Q6" s="69">
        <v>25.69</v>
      </c>
      <c r="R6" s="2">
        <v>31.15</v>
      </c>
      <c r="S6" s="3">
        <v>100.24</v>
      </c>
      <c r="T6" s="2">
        <v>54.48</v>
      </c>
      <c r="U6" s="199">
        <v>47.42</v>
      </c>
      <c r="V6" s="1">
        <v>4614.91</v>
      </c>
      <c r="W6" s="3">
        <v>5176.1000000000004</v>
      </c>
      <c r="X6" s="2">
        <v>3675</v>
      </c>
      <c r="Y6" s="199">
        <v>4201.16</v>
      </c>
      <c r="Z6" s="200">
        <v>427.62</v>
      </c>
      <c r="AA6" s="5">
        <v>519.86</v>
      </c>
      <c r="AB6" s="65">
        <v>830.35</v>
      </c>
      <c r="AC6" s="66">
        <v>1268.01</v>
      </c>
      <c r="AD6" s="64">
        <v>1794.54</v>
      </c>
      <c r="AE6" s="67">
        <v>2027.26</v>
      </c>
      <c r="AF6" s="65">
        <v>3956.23</v>
      </c>
      <c r="AG6" s="66">
        <v>4574.8</v>
      </c>
      <c r="AH6" s="64">
        <v>998.7</v>
      </c>
      <c r="AI6" s="67">
        <v>1241.67</v>
      </c>
      <c r="AJ6" s="66">
        <v>11.49</v>
      </c>
      <c r="AK6" s="65">
        <v>17.03</v>
      </c>
      <c r="AL6" s="66"/>
      <c r="AM6" s="67"/>
      <c r="AN6" s="1269">
        <v>8171.85</v>
      </c>
      <c r="AO6" s="1270">
        <v>10711.65</v>
      </c>
      <c r="AP6" s="723">
        <v>4.4400000000000004</v>
      </c>
      <c r="AQ6" s="70">
        <v>1.84</v>
      </c>
      <c r="AR6" s="71">
        <v>864.07</v>
      </c>
      <c r="AS6" s="547">
        <v>1144.03</v>
      </c>
      <c r="AT6" s="64">
        <v>2418.2199999999998</v>
      </c>
      <c r="AU6" s="67">
        <v>2799.65</v>
      </c>
      <c r="AV6" s="73">
        <f t="shared" si="0"/>
        <v>31273.280000000002</v>
      </c>
      <c r="AW6" s="730">
        <f t="shared" si="1"/>
        <v>38578.46</v>
      </c>
      <c r="AX6" s="74">
        <v>1755.76</v>
      </c>
      <c r="AY6" s="72">
        <v>1440.99</v>
      </c>
      <c r="AZ6" s="75">
        <f t="shared" si="2"/>
        <v>33029.040000000001</v>
      </c>
      <c r="BA6" s="213">
        <f t="shared" si="3"/>
        <v>40019.449999999997</v>
      </c>
    </row>
    <row r="7" spans="1:53" ht="17.25" x14ac:dyDescent="0.35">
      <c r="A7" s="96" t="s">
        <v>5</v>
      </c>
      <c r="B7" s="62">
        <v>11.51</v>
      </c>
      <c r="C7" s="63">
        <v>8.09</v>
      </c>
      <c r="D7" s="64">
        <v>3.36</v>
      </c>
      <c r="E7" s="67">
        <v>-0.24</v>
      </c>
      <c r="F7" s="65">
        <v>10.36</v>
      </c>
      <c r="G7" s="67">
        <v>8.32</v>
      </c>
      <c r="H7" s="65">
        <v>61.62</v>
      </c>
      <c r="I7" s="66">
        <v>85.13</v>
      </c>
      <c r="J7" s="64">
        <v>107.89</v>
      </c>
      <c r="K7" s="67">
        <v>151.15</v>
      </c>
      <c r="L7" s="65">
        <v>0.73</v>
      </c>
      <c r="M7" s="66">
        <v>0.35</v>
      </c>
      <c r="N7" s="64">
        <v>4.41</v>
      </c>
      <c r="O7" s="67">
        <v>14.94</v>
      </c>
      <c r="P7" s="68">
        <v>33.1</v>
      </c>
      <c r="Q7" s="69">
        <v>15.16</v>
      </c>
      <c r="R7" s="2">
        <v>9.26</v>
      </c>
      <c r="S7" s="3">
        <v>25.38</v>
      </c>
      <c r="T7" s="2">
        <v>9.5399999999999991</v>
      </c>
      <c r="U7" s="199">
        <v>18.739999999999998</v>
      </c>
      <c r="V7" s="1">
        <v>379.87</v>
      </c>
      <c r="W7" s="3">
        <v>529.67999999999995</v>
      </c>
      <c r="X7" s="2">
        <v>395</v>
      </c>
      <c r="Y7" s="199">
        <v>419.17</v>
      </c>
      <c r="Z7" s="200"/>
      <c r="AA7" s="5"/>
      <c r="AB7" s="65">
        <v>26.96</v>
      </c>
      <c r="AC7" s="66">
        <v>23.43</v>
      </c>
      <c r="AD7" s="64">
        <v>7.7</v>
      </c>
      <c r="AE7" s="67">
        <v>18.68</v>
      </c>
      <c r="AF7" s="65">
        <v>111.71</v>
      </c>
      <c r="AG7" s="66">
        <v>116.54</v>
      </c>
      <c r="AH7" s="64">
        <v>13.39</v>
      </c>
      <c r="AI7" s="67">
        <v>32.51</v>
      </c>
      <c r="AJ7" s="66">
        <v>43.69</v>
      </c>
      <c r="AK7" s="65">
        <v>39.76</v>
      </c>
      <c r="AL7" s="66"/>
      <c r="AM7" s="67"/>
      <c r="AN7" s="1269">
        <v>348.98</v>
      </c>
      <c r="AO7" s="1270">
        <v>506.55</v>
      </c>
      <c r="AP7" s="723">
        <v>250.05</v>
      </c>
      <c r="AQ7" s="70">
        <v>261.48</v>
      </c>
      <c r="AR7" s="71"/>
      <c r="AS7" s="547"/>
      <c r="AT7" s="64">
        <v>66.319999999999993</v>
      </c>
      <c r="AU7" s="67">
        <v>91.74</v>
      </c>
      <c r="AV7" s="73">
        <f t="shared" si="0"/>
        <v>1895.4500000000003</v>
      </c>
      <c r="AW7" s="730">
        <f t="shared" si="1"/>
        <v>2366.56</v>
      </c>
      <c r="AX7" s="74">
        <v>65.010000000000005</v>
      </c>
      <c r="AY7" s="72">
        <v>50.66</v>
      </c>
      <c r="AZ7" s="75">
        <f t="shared" si="2"/>
        <v>1960.4600000000003</v>
      </c>
      <c r="BA7" s="213">
        <f t="shared" si="3"/>
        <v>2417.2199999999998</v>
      </c>
    </row>
    <row r="8" spans="1:53" ht="17.25" x14ac:dyDescent="0.35">
      <c r="A8" s="96" t="s">
        <v>6</v>
      </c>
      <c r="B8" s="62">
        <v>5.98</v>
      </c>
      <c r="C8" s="63">
        <v>21.18</v>
      </c>
      <c r="D8" s="64">
        <v>4.76</v>
      </c>
      <c r="E8" s="67">
        <v>2.81</v>
      </c>
      <c r="F8" s="65">
        <v>5.17</v>
      </c>
      <c r="G8" s="67">
        <v>2.52</v>
      </c>
      <c r="H8" s="65">
        <v>67.319999999999993</v>
      </c>
      <c r="I8" s="66">
        <v>203.51</v>
      </c>
      <c r="J8" s="64">
        <v>98.73</v>
      </c>
      <c r="K8" s="67">
        <v>126.07</v>
      </c>
      <c r="L8" s="65">
        <v>3.15</v>
      </c>
      <c r="M8" s="66">
        <v>19.03</v>
      </c>
      <c r="N8" s="64">
        <v>-0.09</v>
      </c>
      <c r="O8" s="67">
        <v>-0.02</v>
      </c>
      <c r="P8" s="68">
        <v>27.13</v>
      </c>
      <c r="Q8" s="69">
        <v>8.4600000000000009</v>
      </c>
      <c r="R8" s="2">
        <v>124.3</v>
      </c>
      <c r="S8" s="3">
        <v>392.17</v>
      </c>
      <c r="T8" s="2">
        <v>9.42</v>
      </c>
      <c r="U8" s="199">
        <v>9.94</v>
      </c>
      <c r="V8" s="1">
        <v>474.69</v>
      </c>
      <c r="W8" s="3">
        <v>520</v>
      </c>
      <c r="X8" s="2">
        <v>263</v>
      </c>
      <c r="Y8" s="199">
        <v>354.04</v>
      </c>
      <c r="Z8" s="200">
        <v>23.18</v>
      </c>
      <c r="AA8" s="5">
        <v>44.45</v>
      </c>
      <c r="AB8" s="65">
        <v>6.38</v>
      </c>
      <c r="AC8" s="66">
        <v>31.13</v>
      </c>
      <c r="AD8" s="64">
        <v>54.06</v>
      </c>
      <c r="AE8" s="67">
        <v>62.54</v>
      </c>
      <c r="AF8" s="65">
        <v>12.38</v>
      </c>
      <c r="AG8" s="66">
        <v>85.12</v>
      </c>
      <c r="AH8" s="64">
        <v>42.56</v>
      </c>
      <c r="AI8" s="67">
        <v>46.87</v>
      </c>
      <c r="AJ8" s="66">
        <v>31.99</v>
      </c>
      <c r="AK8" s="65">
        <v>22.95</v>
      </c>
      <c r="AL8" s="66"/>
      <c r="AM8" s="67"/>
      <c r="AN8" s="1269">
        <v>1.49</v>
      </c>
      <c r="AO8" s="1270">
        <v>1.81</v>
      </c>
      <c r="AP8" s="723">
        <v>46.18</v>
      </c>
      <c r="AQ8" s="70">
        <v>43.21</v>
      </c>
      <c r="AR8" s="71">
        <v>-0.02</v>
      </c>
      <c r="AS8" s="547">
        <v>0.14000000000000001</v>
      </c>
      <c r="AT8" s="64">
        <v>235.33</v>
      </c>
      <c r="AU8" s="67">
        <v>542.26</v>
      </c>
      <c r="AV8" s="73">
        <f t="shared" si="0"/>
        <v>1537.0900000000001</v>
      </c>
      <c r="AW8" s="730">
        <f t="shared" si="1"/>
        <v>2540.1900000000005</v>
      </c>
      <c r="AX8" s="74">
        <v>37.14</v>
      </c>
      <c r="AY8" s="72">
        <v>28.43</v>
      </c>
      <c r="AZ8" s="75">
        <f t="shared" si="2"/>
        <v>1574.2300000000002</v>
      </c>
      <c r="BA8" s="213">
        <f t="shared" si="3"/>
        <v>2568.6200000000003</v>
      </c>
    </row>
    <row r="9" spans="1:53" ht="17.25" x14ac:dyDescent="0.35">
      <c r="A9" s="96" t="s">
        <v>7</v>
      </c>
      <c r="B9" s="35"/>
      <c r="C9" s="78"/>
      <c r="D9" s="75"/>
      <c r="E9" s="81"/>
      <c r="F9" s="79"/>
      <c r="G9" s="81"/>
      <c r="H9" s="79"/>
      <c r="I9" s="80"/>
      <c r="J9" s="75"/>
      <c r="K9" s="81"/>
      <c r="L9" s="79"/>
      <c r="M9" s="80"/>
      <c r="N9" s="75"/>
      <c r="O9" s="81"/>
      <c r="P9" s="68"/>
      <c r="Q9" s="69"/>
      <c r="R9" s="7"/>
      <c r="S9" s="8"/>
      <c r="T9" s="7"/>
      <c r="U9" s="89"/>
      <c r="V9" s="6"/>
      <c r="W9" s="8"/>
      <c r="X9" s="7"/>
      <c r="Y9" s="89"/>
      <c r="Z9" s="200"/>
      <c r="AA9" s="5"/>
      <c r="AB9" s="79"/>
      <c r="AC9" s="80"/>
      <c r="AD9" s="545">
        <v>0.06</v>
      </c>
      <c r="AE9" s="82">
        <v>0.1</v>
      </c>
      <c r="AF9" s="79"/>
      <c r="AG9" s="80"/>
      <c r="AH9" s="75"/>
      <c r="AI9" s="81"/>
      <c r="AJ9" s="80"/>
      <c r="AK9" s="79"/>
      <c r="AL9" s="80"/>
      <c r="AM9" s="67"/>
      <c r="AN9" s="1269"/>
      <c r="AO9" s="1270"/>
      <c r="AP9" s="723"/>
      <c r="AQ9" s="70"/>
      <c r="AR9" s="71"/>
      <c r="AS9" s="547"/>
      <c r="AT9" s="75">
        <v>0.79</v>
      </c>
      <c r="AU9" s="81">
        <v>0.64</v>
      </c>
      <c r="AV9" s="73">
        <f t="shared" si="0"/>
        <v>0.85000000000000009</v>
      </c>
      <c r="AW9" s="730">
        <f t="shared" si="1"/>
        <v>0.74</v>
      </c>
      <c r="AX9" s="75">
        <v>352.92</v>
      </c>
      <c r="AY9" s="81">
        <v>257.92</v>
      </c>
      <c r="AZ9" s="75">
        <f t="shared" si="2"/>
        <v>353.77000000000004</v>
      </c>
      <c r="BA9" s="213">
        <f t="shared" si="3"/>
        <v>258.66000000000003</v>
      </c>
    </row>
    <row r="10" spans="1:53" ht="17.25" x14ac:dyDescent="0.35">
      <c r="A10" s="96" t="s">
        <v>15</v>
      </c>
      <c r="B10" s="62"/>
      <c r="C10" s="63"/>
      <c r="D10" s="64"/>
      <c r="E10" s="67"/>
      <c r="F10" s="65"/>
      <c r="G10" s="67"/>
      <c r="H10" s="65"/>
      <c r="I10" s="66"/>
      <c r="J10" s="64"/>
      <c r="K10" s="67"/>
      <c r="L10" s="65"/>
      <c r="M10" s="66"/>
      <c r="N10" s="64"/>
      <c r="O10" s="67"/>
      <c r="P10" s="68"/>
      <c r="Q10" s="69"/>
      <c r="R10" s="2"/>
      <c r="S10" s="3"/>
      <c r="T10" s="2"/>
      <c r="U10" s="199"/>
      <c r="V10" s="1"/>
      <c r="W10" s="3"/>
      <c r="X10" s="2"/>
      <c r="Y10" s="199"/>
      <c r="Z10" s="1"/>
      <c r="AA10" s="3"/>
      <c r="AB10" s="65">
        <v>7.4</v>
      </c>
      <c r="AC10" s="66">
        <v>9.98</v>
      </c>
      <c r="AD10" s="64"/>
      <c r="AE10" s="67"/>
      <c r="AF10" s="65"/>
      <c r="AG10" s="66"/>
      <c r="AH10" s="64"/>
      <c r="AI10" s="67"/>
      <c r="AJ10" s="66"/>
      <c r="AK10" s="65"/>
      <c r="AL10" s="66"/>
      <c r="AM10" s="67"/>
      <c r="AN10" s="1269"/>
      <c r="AO10" s="1270"/>
      <c r="AP10" s="723"/>
      <c r="AQ10" s="70"/>
      <c r="AR10" s="71"/>
      <c r="AS10" s="547"/>
      <c r="AT10" s="64"/>
      <c r="AU10" s="67"/>
      <c r="AV10" s="73">
        <f t="shared" si="0"/>
        <v>7.4</v>
      </c>
      <c r="AW10" s="730">
        <f t="shared" si="1"/>
        <v>9.98</v>
      </c>
      <c r="AX10" s="74"/>
      <c r="AY10" s="72">
        <v>1.6</v>
      </c>
      <c r="AZ10" s="75">
        <f t="shared" si="2"/>
        <v>7.4</v>
      </c>
      <c r="BA10" s="213">
        <f t="shared" si="3"/>
        <v>11.58</v>
      </c>
    </row>
    <row r="11" spans="1:53" ht="17.25" x14ac:dyDescent="0.35">
      <c r="A11" s="96" t="s">
        <v>8</v>
      </c>
      <c r="B11" s="62"/>
      <c r="C11" s="63"/>
      <c r="D11" s="64"/>
      <c r="E11" s="67"/>
      <c r="F11" s="65"/>
      <c r="G11" s="67"/>
      <c r="H11" s="65"/>
      <c r="I11" s="66"/>
      <c r="J11" s="64"/>
      <c r="K11" s="67"/>
      <c r="L11" s="65"/>
      <c r="M11" s="66"/>
      <c r="N11" s="64"/>
      <c r="O11" s="67"/>
      <c r="P11" s="68"/>
      <c r="Q11" s="69"/>
      <c r="R11" s="2"/>
      <c r="S11" s="3"/>
      <c r="T11" s="2"/>
      <c r="U11" s="199"/>
      <c r="V11" s="1"/>
      <c r="W11" s="3"/>
      <c r="X11" s="2"/>
      <c r="Y11" s="199"/>
      <c r="Z11" s="1"/>
      <c r="AA11" s="3"/>
      <c r="AB11" s="65">
        <v>29.79</v>
      </c>
      <c r="AC11" s="66">
        <v>52.82</v>
      </c>
      <c r="AD11" s="64"/>
      <c r="AE11" s="67"/>
      <c r="AF11" s="65"/>
      <c r="AG11" s="66"/>
      <c r="AH11" s="64"/>
      <c r="AI11" s="67"/>
      <c r="AJ11" s="66"/>
      <c r="AK11" s="65"/>
      <c r="AL11" s="66"/>
      <c r="AM11" s="67"/>
      <c r="AN11" s="1269"/>
      <c r="AO11" s="1270"/>
      <c r="AP11" s="723"/>
      <c r="AQ11" s="70"/>
      <c r="AR11" s="71"/>
      <c r="AS11" s="547"/>
      <c r="AT11" s="64"/>
      <c r="AU11" s="67"/>
      <c r="AV11" s="73">
        <f t="shared" si="0"/>
        <v>29.79</v>
      </c>
      <c r="AW11" s="730">
        <f t="shared" si="1"/>
        <v>52.82</v>
      </c>
      <c r="AX11" s="74"/>
      <c r="AY11" s="72"/>
      <c r="AZ11" s="75">
        <f t="shared" si="2"/>
        <v>29.79</v>
      </c>
      <c r="BA11" s="213">
        <f t="shared" si="3"/>
        <v>52.82</v>
      </c>
    </row>
    <row r="12" spans="1:53" ht="17.25" x14ac:dyDescent="0.35">
      <c r="A12" s="40" t="s">
        <v>424</v>
      </c>
      <c r="B12" s="62">
        <v>4.5199999999999996</v>
      </c>
      <c r="C12" s="63">
        <v>5.56</v>
      </c>
      <c r="D12" s="64">
        <v>7.56</v>
      </c>
      <c r="E12" s="67">
        <v>2.71</v>
      </c>
      <c r="F12" s="65">
        <v>3.97</v>
      </c>
      <c r="G12" s="67">
        <v>1.01</v>
      </c>
      <c r="H12" s="65">
        <v>31.94</v>
      </c>
      <c r="I12" s="66">
        <v>17.02</v>
      </c>
      <c r="J12" s="64">
        <v>33.33</v>
      </c>
      <c r="K12" s="67">
        <v>33.590000000000003</v>
      </c>
      <c r="L12" s="65">
        <v>6.85</v>
      </c>
      <c r="M12" s="66">
        <v>11.5</v>
      </c>
      <c r="N12" s="64">
        <v>0.04</v>
      </c>
      <c r="O12" s="67"/>
      <c r="P12" s="68">
        <v>29.87</v>
      </c>
      <c r="Q12" s="69">
        <v>7.77</v>
      </c>
      <c r="R12" s="2">
        <v>60.6</v>
      </c>
      <c r="S12" s="3">
        <v>103.99</v>
      </c>
      <c r="T12" s="2">
        <v>3.94</v>
      </c>
      <c r="U12" s="199">
        <v>1.63</v>
      </c>
      <c r="V12" s="1">
        <v>984.7</v>
      </c>
      <c r="W12" s="3">
        <v>1245.45</v>
      </c>
      <c r="X12" s="2">
        <v>137.53</v>
      </c>
      <c r="Y12" s="199">
        <v>178.76</v>
      </c>
      <c r="Z12" s="1">
        <v>0.75</v>
      </c>
      <c r="AA12" s="3">
        <v>0.08</v>
      </c>
      <c r="AB12" s="65"/>
      <c r="AC12" s="66"/>
      <c r="AD12" s="64">
        <v>2.17</v>
      </c>
      <c r="AE12" s="67">
        <v>4.59</v>
      </c>
      <c r="AF12" s="65">
        <v>58.15</v>
      </c>
      <c r="AG12" s="66">
        <v>70.7</v>
      </c>
      <c r="AH12" s="64">
        <v>4.32</v>
      </c>
      <c r="AI12" s="67">
        <v>2.2200000000000002</v>
      </c>
      <c r="AJ12" s="66">
        <v>0.6</v>
      </c>
      <c r="AK12" s="65">
        <v>0.15</v>
      </c>
      <c r="AL12" s="66"/>
      <c r="AM12" s="67"/>
      <c r="AN12" s="1269">
        <v>13.55</v>
      </c>
      <c r="AO12" s="1270">
        <v>23.74</v>
      </c>
      <c r="AP12" s="723">
        <v>4.1500000000000004</v>
      </c>
      <c r="AQ12" s="70">
        <v>4.1500000000000004</v>
      </c>
      <c r="AR12" s="71"/>
      <c r="AS12" s="547"/>
      <c r="AT12" s="64">
        <v>1.69</v>
      </c>
      <c r="AU12" s="67">
        <v>41.58</v>
      </c>
      <c r="AV12" s="73">
        <f t="shared" si="0"/>
        <v>1390.2300000000002</v>
      </c>
      <c r="AW12" s="730">
        <f t="shared" si="1"/>
        <v>1756.2</v>
      </c>
      <c r="AX12" s="74">
        <v>467.66</v>
      </c>
      <c r="AY12" s="72">
        <v>88.81</v>
      </c>
      <c r="AZ12" s="75"/>
      <c r="BA12" s="213"/>
    </row>
    <row r="13" spans="1:53" ht="17.25" x14ac:dyDescent="0.35">
      <c r="A13" s="40" t="s">
        <v>425</v>
      </c>
      <c r="B13" s="62">
        <v>83.36</v>
      </c>
      <c r="C13" s="63">
        <v>119.37</v>
      </c>
      <c r="D13" s="64">
        <v>14.05</v>
      </c>
      <c r="E13" s="67">
        <v>0.64</v>
      </c>
      <c r="F13" s="65">
        <v>44.49</v>
      </c>
      <c r="G13" s="67">
        <v>69.53</v>
      </c>
      <c r="H13" s="65">
        <v>314.77</v>
      </c>
      <c r="I13" s="66">
        <v>534.29999999999995</v>
      </c>
      <c r="J13" s="64">
        <v>77.510000000000005</v>
      </c>
      <c r="K13" s="67">
        <v>66.39</v>
      </c>
      <c r="L13" s="65">
        <v>22.27</v>
      </c>
      <c r="M13" s="66">
        <v>24.73</v>
      </c>
      <c r="N13" s="64">
        <v>60.29</v>
      </c>
      <c r="O13" s="67">
        <v>55.61</v>
      </c>
      <c r="P13" s="68">
        <v>51</v>
      </c>
      <c r="Q13" s="69">
        <v>19.89</v>
      </c>
      <c r="R13" s="2">
        <v>12.8</v>
      </c>
      <c r="S13" s="3">
        <v>54.92</v>
      </c>
      <c r="T13" s="2">
        <v>240.69</v>
      </c>
      <c r="U13" s="199">
        <v>194.55</v>
      </c>
      <c r="V13" s="1">
        <v>2325.59</v>
      </c>
      <c r="W13" s="3">
        <v>2579.0500000000002</v>
      </c>
      <c r="X13" s="2">
        <v>1343.89</v>
      </c>
      <c r="Y13" s="199">
        <v>1513.4</v>
      </c>
      <c r="Z13" s="1">
        <v>23.26</v>
      </c>
      <c r="AA13" s="3">
        <v>42.06</v>
      </c>
      <c r="AB13" s="65"/>
      <c r="AC13" s="66"/>
      <c r="AD13" s="64">
        <v>284.08</v>
      </c>
      <c r="AE13" s="67">
        <v>669.13</v>
      </c>
      <c r="AF13" s="65">
        <v>380.32</v>
      </c>
      <c r="AG13" s="66">
        <v>524.6</v>
      </c>
      <c r="AH13" s="64">
        <v>398.42</v>
      </c>
      <c r="AI13" s="67">
        <v>425.57</v>
      </c>
      <c r="AJ13" s="66">
        <v>512.5</v>
      </c>
      <c r="AK13" s="65">
        <v>501.13</v>
      </c>
      <c r="AL13" s="66"/>
      <c r="AM13" s="67"/>
      <c r="AN13" s="1269">
        <v>500.16</v>
      </c>
      <c r="AO13" s="1270">
        <v>856.7</v>
      </c>
      <c r="AP13" s="723">
        <v>223.15</v>
      </c>
      <c r="AQ13" s="70">
        <v>231.19</v>
      </c>
      <c r="AR13" s="71">
        <v>18.27</v>
      </c>
      <c r="AS13" s="547">
        <v>6.46</v>
      </c>
      <c r="AT13" s="64">
        <v>129.25</v>
      </c>
      <c r="AU13" s="67">
        <v>190.62</v>
      </c>
      <c r="AV13" s="73">
        <f t="shared" si="0"/>
        <v>7060.12</v>
      </c>
      <c r="AW13" s="730">
        <f t="shared" si="1"/>
        <v>8679.840000000002</v>
      </c>
      <c r="AX13" s="74">
        <v>775.19</v>
      </c>
      <c r="AY13" s="72">
        <v>103.16</v>
      </c>
      <c r="AZ13" s="75"/>
      <c r="BA13" s="213"/>
    </row>
    <row r="14" spans="1:53" ht="17.25" x14ac:dyDescent="0.35">
      <c r="A14" s="96" t="s">
        <v>16</v>
      </c>
      <c r="B14" s="62">
        <v>3.17</v>
      </c>
      <c r="C14" s="63">
        <v>1.88</v>
      </c>
      <c r="D14" s="64"/>
      <c r="E14" s="67"/>
      <c r="F14" s="65"/>
      <c r="G14" s="67"/>
      <c r="H14" s="65">
        <v>28.25</v>
      </c>
      <c r="I14" s="66">
        <v>6.02</v>
      </c>
      <c r="J14" s="64">
        <v>0.68</v>
      </c>
      <c r="K14" s="67">
        <v>0.08</v>
      </c>
      <c r="L14" s="65">
        <v>19.41</v>
      </c>
      <c r="M14" s="66">
        <v>11.31</v>
      </c>
      <c r="N14" s="64"/>
      <c r="O14" s="67"/>
      <c r="P14" s="68"/>
      <c r="Q14" s="69"/>
      <c r="R14" s="2"/>
      <c r="S14" s="3"/>
      <c r="T14" s="2"/>
      <c r="U14" s="199"/>
      <c r="V14" s="1"/>
      <c r="W14" s="3"/>
      <c r="X14" s="2"/>
      <c r="Y14" s="199"/>
      <c r="Z14" s="1">
        <v>0.86</v>
      </c>
      <c r="AA14" s="3">
        <v>0.51</v>
      </c>
      <c r="AB14" s="65"/>
      <c r="AC14" s="66"/>
      <c r="AD14" s="64">
        <v>0.62</v>
      </c>
      <c r="AE14" s="67">
        <v>9.77</v>
      </c>
      <c r="AF14" s="65"/>
      <c r="AG14" s="66"/>
      <c r="AH14" s="64"/>
      <c r="AI14" s="67">
        <v>0.54</v>
      </c>
      <c r="AJ14" s="66"/>
      <c r="AK14" s="65"/>
      <c r="AL14" s="66"/>
      <c r="AM14" s="67"/>
      <c r="AN14" s="1269"/>
      <c r="AO14" s="1270">
        <v>3.5</v>
      </c>
      <c r="AP14" s="723"/>
      <c r="AQ14" s="70"/>
      <c r="AR14" s="71"/>
      <c r="AS14" s="547"/>
      <c r="AT14" s="64"/>
      <c r="AU14" s="67"/>
      <c r="AV14" s="73">
        <f t="shared" si="0"/>
        <v>52.99</v>
      </c>
      <c r="AW14" s="730">
        <f t="shared" si="1"/>
        <v>33.61</v>
      </c>
      <c r="AX14" s="74"/>
      <c r="AY14" s="72">
        <v>7.02</v>
      </c>
      <c r="AZ14" s="75">
        <f t="shared" si="2"/>
        <v>52.99</v>
      </c>
      <c r="BA14" s="213">
        <f t="shared" si="3"/>
        <v>40.629999999999995</v>
      </c>
    </row>
    <row r="15" spans="1:53" ht="17.25" x14ac:dyDescent="0.35">
      <c r="A15" s="96" t="s">
        <v>17</v>
      </c>
      <c r="B15" s="62"/>
      <c r="C15" s="63"/>
      <c r="D15" s="64">
        <v>0.03</v>
      </c>
      <c r="E15" s="67"/>
      <c r="F15" s="65">
        <v>6.84</v>
      </c>
      <c r="G15" s="67">
        <v>12.16</v>
      </c>
      <c r="H15" s="65"/>
      <c r="I15" s="66"/>
      <c r="J15" s="64"/>
      <c r="K15" s="67"/>
      <c r="L15" s="65"/>
      <c r="M15" s="66"/>
      <c r="N15" s="64"/>
      <c r="O15" s="67"/>
      <c r="P15" s="68"/>
      <c r="Q15" s="69"/>
      <c r="R15" s="2"/>
      <c r="S15" s="3"/>
      <c r="T15" s="2">
        <v>5.71</v>
      </c>
      <c r="U15" s="199">
        <v>8.6</v>
      </c>
      <c r="V15" s="1">
        <v>3.6</v>
      </c>
      <c r="W15" s="3">
        <v>4.84</v>
      </c>
      <c r="X15" s="2">
        <v>40.619999999999997</v>
      </c>
      <c r="Y15" s="199">
        <v>37.29</v>
      </c>
      <c r="Z15" s="1"/>
      <c r="AA15" s="3"/>
      <c r="AB15" s="65"/>
      <c r="AC15" s="66"/>
      <c r="AD15" s="64">
        <v>0.02</v>
      </c>
      <c r="AE15" s="67"/>
      <c r="AF15" s="65">
        <v>61.33</v>
      </c>
      <c r="AG15" s="66">
        <v>38.65</v>
      </c>
      <c r="AH15" s="64">
        <v>12.75</v>
      </c>
      <c r="AI15" s="67">
        <v>26.37</v>
      </c>
      <c r="AJ15" s="66"/>
      <c r="AK15" s="65"/>
      <c r="AL15" s="66"/>
      <c r="AM15" s="67"/>
      <c r="AN15" s="1269">
        <v>0.28000000000000003</v>
      </c>
      <c r="AO15" s="1270">
        <v>0.7</v>
      </c>
      <c r="AP15" s="723"/>
      <c r="AQ15" s="70"/>
      <c r="AR15" s="71"/>
      <c r="AS15" s="547"/>
      <c r="AT15" s="64"/>
      <c r="AU15" s="67"/>
      <c r="AV15" s="73">
        <f t="shared" si="0"/>
        <v>131.18</v>
      </c>
      <c r="AW15" s="730">
        <f t="shared" si="1"/>
        <v>128.60999999999999</v>
      </c>
      <c r="AX15" s="74">
        <v>42.85</v>
      </c>
      <c r="AY15" s="72">
        <v>79.28</v>
      </c>
      <c r="AZ15" s="75">
        <f t="shared" si="2"/>
        <v>174.03</v>
      </c>
      <c r="BA15" s="213">
        <f t="shared" si="3"/>
        <v>207.89</v>
      </c>
    </row>
    <row r="16" spans="1:53" ht="17.25" x14ac:dyDescent="0.35">
      <c r="A16" s="96" t="s">
        <v>183</v>
      </c>
      <c r="B16" s="62"/>
      <c r="C16" s="63"/>
      <c r="D16" s="64"/>
      <c r="E16" s="67"/>
      <c r="F16" s="65"/>
      <c r="G16" s="67"/>
      <c r="H16" s="65"/>
      <c r="I16" s="66"/>
      <c r="J16" s="64"/>
      <c r="K16" s="67"/>
      <c r="L16" s="65"/>
      <c r="M16" s="66"/>
      <c r="N16" s="64"/>
      <c r="O16" s="67"/>
      <c r="P16" s="68"/>
      <c r="Q16" s="69"/>
      <c r="R16" s="2"/>
      <c r="S16" s="3"/>
      <c r="T16" s="2"/>
      <c r="U16" s="199"/>
      <c r="V16" s="1"/>
      <c r="W16" s="3"/>
      <c r="X16" s="2"/>
      <c r="Y16" s="199"/>
      <c r="Z16" s="1"/>
      <c r="AA16" s="3"/>
      <c r="AB16" s="65"/>
      <c r="AC16" s="66"/>
      <c r="AD16" s="64"/>
      <c r="AE16" s="67"/>
      <c r="AF16" s="65"/>
      <c r="AG16" s="66"/>
      <c r="AH16" s="64"/>
      <c r="AI16" s="67"/>
      <c r="AJ16" s="66"/>
      <c r="AK16" s="65"/>
      <c r="AL16" s="66"/>
      <c r="AM16" s="67"/>
      <c r="AN16" s="1269"/>
      <c r="AO16" s="1270"/>
      <c r="AP16" s="723"/>
      <c r="AQ16" s="70"/>
      <c r="AR16" s="71"/>
      <c r="AS16" s="547"/>
      <c r="AT16" s="64"/>
      <c r="AU16" s="67"/>
      <c r="AV16" s="73">
        <f t="shared" si="0"/>
        <v>0</v>
      </c>
      <c r="AW16" s="730">
        <f t="shared" si="1"/>
        <v>0</v>
      </c>
      <c r="AX16" s="74"/>
      <c r="AY16" s="72"/>
      <c r="AZ16" s="75">
        <f t="shared" si="2"/>
        <v>0</v>
      </c>
      <c r="BA16" s="213">
        <f t="shared" si="3"/>
        <v>0</v>
      </c>
    </row>
    <row r="17" spans="1:53" ht="18" thickBot="1" x14ac:dyDescent="0.4">
      <c r="A17" s="214" t="s">
        <v>19</v>
      </c>
      <c r="B17" s="235">
        <v>1.48</v>
      </c>
      <c r="C17" s="236">
        <v>2.83</v>
      </c>
      <c r="D17" s="215">
        <v>5.43</v>
      </c>
      <c r="E17" s="218">
        <v>4.5599999999999996</v>
      </c>
      <c r="F17" s="216"/>
      <c r="G17" s="218"/>
      <c r="H17" s="216">
        <v>157.13999999999999</v>
      </c>
      <c r="I17" s="217">
        <v>72.13</v>
      </c>
      <c r="J17" s="215">
        <v>1.06</v>
      </c>
      <c r="K17" s="218">
        <v>0.14000000000000001</v>
      </c>
      <c r="L17" s="216">
        <v>7.21</v>
      </c>
      <c r="M17" s="217">
        <v>3.46</v>
      </c>
      <c r="N17" s="215"/>
      <c r="O17" s="218"/>
      <c r="P17" s="238">
        <v>4.04</v>
      </c>
      <c r="Q17" s="239">
        <v>0.59</v>
      </c>
      <c r="R17" s="240"/>
      <c r="S17" s="241"/>
      <c r="T17" s="240">
        <v>0.1</v>
      </c>
      <c r="U17" s="542"/>
      <c r="V17" s="237">
        <v>53.77</v>
      </c>
      <c r="W17" s="241">
        <v>46.25</v>
      </c>
      <c r="X17" s="240">
        <v>54.55</v>
      </c>
      <c r="Y17" s="542">
        <v>26.2</v>
      </c>
      <c r="Z17" s="237"/>
      <c r="AA17" s="241"/>
      <c r="AB17" s="216"/>
      <c r="AC17" s="217"/>
      <c r="AD17" s="215">
        <v>1.6</v>
      </c>
      <c r="AE17" s="218">
        <v>1.65</v>
      </c>
      <c r="AF17" s="216">
        <v>77.36</v>
      </c>
      <c r="AG17" s="217">
        <v>56.82</v>
      </c>
      <c r="AH17" s="215">
        <v>18.16</v>
      </c>
      <c r="AI17" s="218">
        <v>17.41</v>
      </c>
      <c r="AJ17" s="217">
        <v>1.7999999999999999E-2</v>
      </c>
      <c r="AK17" s="216">
        <v>0.05</v>
      </c>
      <c r="AL17" s="217"/>
      <c r="AM17" s="218"/>
      <c r="AN17" s="1271">
        <v>4.3899999999999997</v>
      </c>
      <c r="AO17" s="1272">
        <v>2.34</v>
      </c>
      <c r="AP17" s="724">
        <v>0.41</v>
      </c>
      <c r="AQ17" s="219">
        <v>-0.01</v>
      </c>
      <c r="AR17" s="220"/>
      <c r="AS17" s="548"/>
      <c r="AT17" s="215">
        <v>87.68</v>
      </c>
      <c r="AU17" s="218">
        <v>87.75</v>
      </c>
      <c r="AV17" s="222">
        <f t="shared" si="0"/>
        <v>474.39800000000002</v>
      </c>
      <c r="AW17" s="731">
        <f t="shared" si="1"/>
        <v>322.16999999999996</v>
      </c>
      <c r="AX17" s="223"/>
      <c r="AY17" s="221"/>
      <c r="AZ17" s="1251">
        <f t="shared" si="2"/>
        <v>474.39800000000002</v>
      </c>
      <c r="BA17" s="224">
        <f t="shared" si="3"/>
        <v>322.16999999999996</v>
      </c>
    </row>
    <row r="18" spans="1:53" s="390" customFormat="1" ht="18.75" thickBot="1" x14ac:dyDescent="0.4">
      <c r="A18" s="382" t="s">
        <v>20</v>
      </c>
      <c r="B18" s="383">
        <f t="shared" ref="B18:AG18" si="4">SUM(B5:B17)</f>
        <v>2076.1999999999998</v>
      </c>
      <c r="C18" s="384">
        <f t="shared" si="4"/>
        <v>2442.1099999999997</v>
      </c>
      <c r="D18" s="385">
        <f t="shared" si="4"/>
        <v>35.11</v>
      </c>
      <c r="E18" s="386">
        <f t="shared" si="4"/>
        <v>10.45</v>
      </c>
      <c r="F18" s="383">
        <f t="shared" si="4"/>
        <v>160.89000000000001</v>
      </c>
      <c r="G18" s="386">
        <f t="shared" si="4"/>
        <v>206.03</v>
      </c>
      <c r="H18" s="383">
        <f t="shared" si="4"/>
        <v>2530.6099999999997</v>
      </c>
      <c r="I18" s="384">
        <f t="shared" si="4"/>
        <v>3961.35</v>
      </c>
      <c r="J18" s="385">
        <f t="shared" si="4"/>
        <v>647.42999999999995</v>
      </c>
      <c r="K18" s="386">
        <f t="shared" si="4"/>
        <v>757.98</v>
      </c>
      <c r="L18" s="383">
        <f t="shared" si="4"/>
        <v>1428.0700000000002</v>
      </c>
      <c r="M18" s="384">
        <f t="shared" si="4"/>
        <v>1737.2599999999998</v>
      </c>
      <c r="N18" s="385">
        <f t="shared" si="4"/>
        <v>114.53999999999999</v>
      </c>
      <c r="O18" s="386">
        <f t="shared" si="4"/>
        <v>121.51</v>
      </c>
      <c r="P18" s="383">
        <f t="shared" si="4"/>
        <v>410.63000000000005</v>
      </c>
      <c r="Q18" s="386">
        <f t="shared" si="4"/>
        <v>159.77000000000001</v>
      </c>
      <c r="R18" s="383">
        <f t="shared" si="4"/>
        <v>665.4799999999999</v>
      </c>
      <c r="S18" s="386">
        <f t="shared" si="4"/>
        <v>1254.9000000000001</v>
      </c>
      <c r="T18" s="383">
        <f t="shared" si="4"/>
        <v>355.94</v>
      </c>
      <c r="U18" s="384">
        <f t="shared" si="4"/>
        <v>319.81</v>
      </c>
      <c r="V18" s="385">
        <f t="shared" si="4"/>
        <v>10075.15</v>
      </c>
      <c r="W18" s="386">
        <f t="shared" si="4"/>
        <v>11639.86</v>
      </c>
      <c r="X18" s="383">
        <f t="shared" si="4"/>
        <v>7846.59</v>
      </c>
      <c r="Y18" s="384">
        <f t="shared" si="4"/>
        <v>9295.6600000000017</v>
      </c>
      <c r="Z18" s="385">
        <f t="shared" si="4"/>
        <v>504.40000000000003</v>
      </c>
      <c r="AA18" s="386">
        <f t="shared" si="4"/>
        <v>639.23</v>
      </c>
      <c r="AB18" s="383">
        <f t="shared" si="4"/>
        <v>923.99</v>
      </c>
      <c r="AC18" s="384">
        <f t="shared" si="4"/>
        <v>1428.73</v>
      </c>
      <c r="AD18" s="385">
        <f t="shared" si="4"/>
        <v>2643.6599999999994</v>
      </c>
      <c r="AE18" s="386">
        <f t="shared" si="4"/>
        <v>3300.52</v>
      </c>
      <c r="AF18" s="383">
        <f t="shared" si="4"/>
        <v>6227.6399999999994</v>
      </c>
      <c r="AG18" s="384">
        <f t="shared" si="4"/>
        <v>7098.5199999999995</v>
      </c>
      <c r="AH18" s="385">
        <f t="shared" ref="AH18:AU18" si="5">SUM(AH5:AH17)</f>
        <v>1550.0900000000001</v>
      </c>
      <c r="AI18" s="386">
        <f t="shared" si="5"/>
        <v>1880.56</v>
      </c>
      <c r="AJ18" s="383">
        <f t="shared" si="5"/>
        <v>956.37800000000004</v>
      </c>
      <c r="AK18" s="384">
        <f t="shared" si="5"/>
        <v>983.07999999999993</v>
      </c>
      <c r="AL18" s="385">
        <f t="shared" si="5"/>
        <v>0</v>
      </c>
      <c r="AM18" s="386">
        <f t="shared" si="5"/>
        <v>0</v>
      </c>
      <c r="AN18" s="385">
        <f t="shared" si="5"/>
        <v>12498.839999999998</v>
      </c>
      <c r="AO18" s="386">
        <f t="shared" si="5"/>
        <v>16500.32</v>
      </c>
      <c r="AP18" s="383">
        <f t="shared" si="5"/>
        <v>562.67999999999995</v>
      </c>
      <c r="AQ18" s="386">
        <f t="shared" si="5"/>
        <v>575.18000000000006</v>
      </c>
      <c r="AR18" s="383">
        <f t="shared" si="5"/>
        <v>882.25</v>
      </c>
      <c r="AS18" s="384">
        <f t="shared" si="5"/>
        <v>1150.8300000000002</v>
      </c>
      <c r="AT18" s="385">
        <f t="shared" si="5"/>
        <v>3953.7599999999998</v>
      </c>
      <c r="AU18" s="386">
        <f t="shared" si="5"/>
        <v>5010.4000000000005</v>
      </c>
      <c r="AV18" s="387">
        <f t="shared" si="0"/>
        <v>57050.327999999994</v>
      </c>
      <c r="AW18" s="732">
        <f t="shared" si="1"/>
        <v>70474.06</v>
      </c>
      <c r="AX18" s="388">
        <f>SUM(AX5:AX17)</f>
        <v>56406.490000000005</v>
      </c>
      <c r="AY18" s="735">
        <f>SUM(AY5:AY17)</f>
        <v>54847.299999999996</v>
      </c>
      <c r="AZ18" s="1252">
        <f t="shared" si="2"/>
        <v>113456.818</v>
      </c>
      <c r="BA18" s="389">
        <f t="shared" si="3"/>
        <v>125321.35999999999</v>
      </c>
    </row>
    <row r="19" spans="1:53" ht="18" thickBot="1" x14ac:dyDescent="0.4">
      <c r="A19" s="242" t="s">
        <v>11</v>
      </c>
      <c r="B19" s="243"/>
      <c r="C19" s="244"/>
      <c r="D19" s="225"/>
      <c r="E19" s="228"/>
      <c r="F19" s="226">
        <v>0.04</v>
      </c>
      <c r="G19" s="228">
        <v>0.11</v>
      </c>
      <c r="H19" s="226"/>
      <c r="I19" s="227"/>
      <c r="J19" s="225"/>
      <c r="K19" s="228"/>
      <c r="L19" s="226"/>
      <c r="M19" s="227"/>
      <c r="N19" s="225"/>
      <c r="O19" s="228"/>
      <c r="P19" s="246"/>
      <c r="Q19" s="247"/>
      <c r="R19" s="248">
        <v>9.33</v>
      </c>
      <c r="S19" s="249">
        <v>23.07</v>
      </c>
      <c r="T19" s="248"/>
      <c r="U19" s="543"/>
      <c r="V19" s="245"/>
      <c r="W19" s="249"/>
      <c r="X19" s="248"/>
      <c r="Y19" s="543"/>
      <c r="Z19" s="245"/>
      <c r="AA19" s="249"/>
      <c r="AB19" s="226"/>
      <c r="AC19" s="227"/>
      <c r="AD19" s="225">
        <v>0.95</v>
      </c>
      <c r="AE19" s="228"/>
      <c r="AF19" s="226"/>
      <c r="AG19" s="227"/>
      <c r="AH19" s="225"/>
      <c r="AI19" s="228">
        <v>-1E-3</v>
      </c>
      <c r="AJ19" s="226"/>
      <c r="AK19" s="227"/>
      <c r="AL19" s="225"/>
      <c r="AM19" s="228"/>
      <c r="AN19" s="359"/>
      <c r="AO19" s="250"/>
      <c r="AP19" s="725"/>
      <c r="AQ19" s="229"/>
      <c r="AR19" s="230"/>
      <c r="AS19" s="549"/>
      <c r="AT19" s="225"/>
      <c r="AU19" s="228"/>
      <c r="AV19" s="232">
        <f t="shared" si="0"/>
        <v>10.319999999999999</v>
      </c>
      <c r="AW19" s="733">
        <f t="shared" si="1"/>
        <v>23.178999999999998</v>
      </c>
      <c r="AX19" s="233"/>
      <c r="AY19" s="231"/>
      <c r="AZ19" s="1253">
        <f t="shared" si="2"/>
        <v>10.319999999999999</v>
      </c>
      <c r="BA19" s="234">
        <f t="shared" si="3"/>
        <v>23.178999999999998</v>
      </c>
    </row>
    <row r="20" spans="1:53" s="390" customFormat="1" ht="18.75" thickBot="1" x14ac:dyDescent="0.4">
      <c r="A20" s="391" t="s">
        <v>12</v>
      </c>
      <c r="B20" s="392">
        <f t="shared" ref="B20:AG20" si="6">B18+B19</f>
        <v>2076.1999999999998</v>
      </c>
      <c r="C20" s="393">
        <f t="shared" si="6"/>
        <v>2442.1099999999997</v>
      </c>
      <c r="D20" s="394">
        <f t="shared" si="6"/>
        <v>35.11</v>
      </c>
      <c r="E20" s="395">
        <f t="shared" si="6"/>
        <v>10.45</v>
      </c>
      <c r="F20" s="392">
        <f t="shared" si="6"/>
        <v>160.93</v>
      </c>
      <c r="G20" s="395">
        <f t="shared" si="6"/>
        <v>206.14000000000001</v>
      </c>
      <c r="H20" s="392">
        <f t="shared" si="6"/>
        <v>2530.6099999999997</v>
      </c>
      <c r="I20" s="393">
        <f t="shared" si="6"/>
        <v>3961.35</v>
      </c>
      <c r="J20" s="394">
        <f t="shared" si="6"/>
        <v>647.42999999999995</v>
      </c>
      <c r="K20" s="395">
        <f t="shared" si="6"/>
        <v>757.98</v>
      </c>
      <c r="L20" s="392">
        <f t="shared" si="6"/>
        <v>1428.0700000000002</v>
      </c>
      <c r="M20" s="393">
        <f t="shared" si="6"/>
        <v>1737.2599999999998</v>
      </c>
      <c r="N20" s="394">
        <f t="shared" si="6"/>
        <v>114.53999999999999</v>
      </c>
      <c r="O20" s="395">
        <f t="shared" si="6"/>
        <v>121.51</v>
      </c>
      <c r="P20" s="392">
        <f t="shared" si="6"/>
        <v>410.63000000000005</v>
      </c>
      <c r="Q20" s="395">
        <f t="shared" si="6"/>
        <v>159.77000000000001</v>
      </c>
      <c r="R20" s="392">
        <f t="shared" si="6"/>
        <v>674.81</v>
      </c>
      <c r="S20" s="395">
        <f t="shared" si="6"/>
        <v>1277.97</v>
      </c>
      <c r="T20" s="392">
        <f t="shared" si="6"/>
        <v>355.94</v>
      </c>
      <c r="U20" s="393">
        <f t="shared" si="6"/>
        <v>319.81</v>
      </c>
      <c r="V20" s="394">
        <f t="shared" si="6"/>
        <v>10075.15</v>
      </c>
      <c r="W20" s="395">
        <f t="shared" si="6"/>
        <v>11639.86</v>
      </c>
      <c r="X20" s="392">
        <f t="shared" si="6"/>
        <v>7846.59</v>
      </c>
      <c r="Y20" s="393">
        <f t="shared" si="6"/>
        <v>9295.6600000000017</v>
      </c>
      <c r="Z20" s="394">
        <f t="shared" si="6"/>
        <v>504.40000000000003</v>
      </c>
      <c r="AA20" s="395">
        <f t="shared" si="6"/>
        <v>639.23</v>
      </c>
      <c r="AB20" s="392">
        <f t="shared" si="6"/>
        <v>923.99</v>
      </c>
      <c r="AC20" s="393">
        <f t="shared" si="6"/>
        <v>1428.73</v>
      </c>
      <c r="AD20" s="394">
        <f t="shared" si="6"/>
        <v>2644.6099999999992</v>
      </c>
      <c r="AE20" s="395">
        <f t="shared" si="6"/>
        <v>3300.52</v>
      </c>
      <c r="AF20" s="392">
        <f t="shared" si="6"/>
        <v>6227.6399999999994</v>
      </c>
      <c r="AG20" s="393">
        <f t="shared" si="6"/>
        <v>7098.5199999999995</v>
      </c>
      <c r="AH20" s="394">
        <f t="shared" ref="AH20:AU20" si="7">AH18+AH19</f>
        <v>1550.0900000000001</v>
      </c>
      <c r="AI20" s="395">
        <f t="shared" si="7"/>
        <v>1880.559</v>
      </c>
      <c r="AJ20" s="392">
        <f t="shared" si="7"/>
        <v>956.37800000000004</v>
      </c>
      <c r="AK20" s="393">
        <f t="shared" si="7"/>
        <v>983.07999999999993</v>
      </c>
      <c r="AL20" s="394">
        <f t="shared" si="7"/>
        <v>0</v>
      </c>
      <c r="AM20" s="395">
        <f t="shared" si="7"/>
        <v>0</v>
      </c>
      <c r="AN20" s="394">
        <f t="shared" si="7"/>
        <v>12498.839999999998</v>
      </c>
      <c r="AO20" s="395">
        <f t="shared" si="7"/>
        <v>16500.32</v>
      </c>
      <c r="AP20" s="392">
        <f t="shared" si="7"/>
        <v>562.67999999999995</v>
      </c>
      <c r="AQ20" s="395">
        <f t="shared" si="7"/>
        <v>575.18000000000006</v>
      </c>
      <c r="AR20" s="392">
        <f t="shared" si="7"/>
        <v>882.25</v>
      </c>
      <c r="AS20" s="393">
        <f t="shared" si="7"/>
        <v>1150.8300000000002</v>
      </c>
      <c r="AT20" s="394">
        <f t="shared" si="7"/>
        <v>3953.7599999999998</v>
      </c>
      <c r="AU20" s="395">
        <f t="shared" si="7"/>
        <v>5010.4000000000005</v>
      </c>
      <c r="AV20" s="396">
        <f t="shared" si="0"/>
        <v>57060.648000000001</v>
      </c>
      <c r="AW20" s="734">
        <f t="shared" si="1"/>
        <v>70497.239000000001</v>
      </c>
      <c r="AX20" s="397">
        <f>AX18+AX19</f>
        <v>56406.490000000005</v>
      </c>
      <c r="AY20" s="398">
        <f>AY18+AY19</f>
        <v>54847.299999999996</v>
      </c>
      <c r="AZ20" s="397">
        <f t="shared" si="2"/>
        <v>113467.13800000001</v>
      </c>
      <c r="BA20" s="398">
        <f t="shared" si="3"/>
        <v>125344.53899999999</v>
      </c>
    </row>
    <row r="21" spans="1:53" x14ac:dyDescent="0.3">
      <c r="AT21" s="83"/>
      <c r="AU21" s="83"/>
    </row>
  </sheetData>
  <mergeCells count="26">
    <mergeCell ref="B3:C3"/>
    <mergeCell ref="F3:G3"/>
    <mergeCell ref="H3:I3"/>
    <mergeCell ref="J3:K3"/>
    <mergeCell ref="L3:M3"/>
    <mergeCell ref="T3:U3"/>
    <mergeCell ref="R3:S3"/>
    <mergeCell ref="P3:Q3"/>
    <mergeCell ref="N3:O3"/>
    <mergeCell ref="D3:E3"/>
    <mergeCell ref="AZ3:BA3"/>
    <mergeCell ref="AV3:AW3"/>
    <mergeCell ref="AX3:AY3"/>
    <mergeCell ref="AH3:AI3"/>
    <mergeCell ref="AJ3:AK3"/>
    <mergeCell ref="AL3:AM3"/>
    <mergeCell ref="AN3:AO3"/>
    <mergeCell ref="AP3:AQ3"/>
    <mergeCell ref="AR3:AS3"/>
    <mergeCell ref="AT3:AU3"/>
    <mergeCell ref="X3:Y3"/>
    <mergeCell ref="Z3:AA3"/>
    <mergeCell ref="AF3:AG3"/>
    <mergeCell ref="V3:W3"/>
    <mergeCell ref="AB3:AC3"/>
    <mergeCell ref="AD3:AE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 tint="0.39997558519241921"/>
  </sheetPr>
  <dimension ref="A1:BB21"/>
  <sheetViews>
    <sheetView topLeftCell="A4" workbookViewId="0">
      <pane xSplit="1" topLeftCell="AP1" activePane="topRight" state="frozen"/>
      <selection pane="topRight" sqref="A1:IV65536"/>
    </sheetView>
  </sheetViews>
  <sheetFormatPr defaultRowHeight="14.25" x14ac:dyDescent="0.3"/>
  <cols>
    <col min="1" max="1" width="27.85546875" style="9" bestFit="1" customWidth="1"/>
    <col min="2" max="25" width="12.42578125" style="9" bestFit="1" customWidth="1"/>
    <col min="26" max="27" width="12.42578125" style="33" bestFit="1" customWidth="1"/>
    <col min="28" max="53" width="12.42578125" style="9" bestFit="1" customWidth="1"/>
    <col min="54" max="54" width="9.5703125" style="9" bestFit="1" customWidth="1"/>
    <col min="55" max="16384" width="9.140625" style="9"/>
  </cols>
  <sheetData>
    <row r="1" spans="1:54" ht="28.5" customHeight="1" x14ac:dyDescent="0.3">
      <c r="A1" s="1426" t="s">
        <v>157</v>
      </c>
      <c r="B1" s="1426"/>
      <c r="C1" s="1426"/>
      <c r="D1" s="1426"/>
      <c r="E1" s="1426"/>
      <c r="F1" s="1426"/>
      <c r="G1" s="1426"/>
      <c r="H1" s="1426"/>
      <c r="I1" s="1426"/>
      <c r="J1" s="1426"/>
      <c r="K1" s="1426"/>
      <c r="L1" s="1426"/>
      <c r="M1" s="1426"/>
      <c r="N1" s="1426"/>
      <c r="O1" s="1426"/>
      <c r="P1" s="1426"/>
      <c r="Q1" s="1426"/>
      <c r="R1" s="1426"/>
      <c r="S1" s="1426"/>
      <c r="T1" s="1426"/>
      <c r="U1" s="1426"/>
      <c r="V1" s="1426"/>
      <c r="W1" s="1426"/>
      <c r="X1" s="1426"/>
      <c r="Y1" s="1426"/>
      <c r="Z1" s="1426"/>
      <c r="AA1" s="1426"/>
      <c r="AB1" s="1426"/>
      <c r="AC1" s="1426"/>
      <c r="AD1" s="1426"/>
      <c r="AE1" s="1426"/>
      <c r="AF1" s="1426"/>
      <c r="AG1" s="1426"/>
      <c r="AH1" s="1426"/>
      <c r="AI1" s="1426"/>
      <c r="AJ1" s="1426"/>
      <c r="AK1" s="1426"/>
      <c r="AL1" s="1426"/>
      <c r="AM1" s="1426"/>
      <c r="AN1" s="1426"/>
      <c r="AO1" s="1426"/>
      <c r="AP1" s="1426"/>
      <c r="AQ1" s="1426"/>
      <c r="AR1" s="1426"/>
      <c r="AS1" s="1426"/>
      <c r="AT1" s="1426"/>
      <c r="AU1" s="1426"/>
      <c r="AV1" s="1426"/>
      <c r="AW1" s="1426"/>
      <c r="AX1" s="1426"/>
      <c r="AY1" s="1426"/>
      <c r="AZ1" s="38"/>
      <c r="BA1" s="38"/>
    </row>
    <row r="2" spans="1:54" ht="15" thickBot="1" x14ac:dyDescent="0.35">
      <c r="A2" s="1359"/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  <c r="O2" s="1359"/>
      <c r="P2" s="1359"/>
      <c r="Q2" s="1359"/>
      <c r="R2" s="1359"/>
      <c r="S2" s="1359"/>
      <c r="T2" s="1359"/>
      <c r="U2" s="1359"/>
      <c r="V2" s="1359"/>
      <c r="W2" s="1359"/>
      <c r="X2" s="1359"/>
      <c r="Y2" s="1359"/>
      <c r="Z2" s="1359"/>
      <c r="AA2" s="1359"/>
      <c r="AB2" s="1359"/>
      <c r="AC2" s="1359"/>
      <c r="AD2" s="1359"/>
      <c r="AE2" s="1359"/>
      <c r="AF2" s="1359"/>
      <c r="AG2" s="1359"/>
      <c r="AH2" s="1359"/>
      <c r="AI2" s="1359"/>
      <c r="AJ2" s="1359"/>
      <c r="AK2" s="1359"/>
      <c r="AL2" s="1359"/>
      <c r="AM2" s="1359"/>
      <c r="AN2" s="1359"/>
      <c r="AO2" s="1359"/>
      <c r="AP2" s="1359"/>
      <c r="AQ2" s="1359"/>
      <c r="AR2" s="1359"/>
      <c r="AS2" s="1359"/>
      <c r="AT2" s="1359"/>
      <c r="AU2" s="1359"/>
      <c r="AV2" s="1359"/>
      <c r="AW2" s="1359"/>
      <c r="AX2" s="1359"/>
      <c r="AY2" s="1359"/>
      <c r="AZ2" s="39"/>
      <c r="BA2" s="39"/>
    </row>
    <row r="3" spans="1:54" s="694" customFormat="1" ht="46.5" customHeight="1" thickBot="1" x14ac:dyDescent="0.3">
      <c r="A3" s="1427" t="s">
        <v>14</v>
      </c>
      <c r="B3" s="1365" t="s">
        <v>158</v>
      </c>
      <c r="C3" s="1363"/>
      <c r="D3" s="1366" t="s">
        <v>159</v>
      </c>
      <c r="E3" s="1367"/>
      <c r="F3" s="1366" t="s">
        <v>160</v>
      </c>
      <c r="G3" s="1367"/>
      <c r="H3" s="1366" t="s">
        <v>161</v>
      </c>
      <c r="I3" s="1367"/>
      <c r="J3" s="1365" t="s">
        <v>162</v>
      </c>
      <c r="K3" s="1363"/>
      <c r="L3" s="1365" t="s">
        <v>163</v>
      </c>
      <c r="M3" s="1363"/>
      <c r="N3" s="1365" t="s">
        <v>312</v>
      </c>
      <c r="O3" s="1363"/>
      <c r="P3" s="1365" t="s">
        <v>164</v>
      </c>
      <c r="Q3" s="1363"/>
      <c r="R3" s="1365" t="s">
        <v>165</v>
      </c>
      <c r="S3" s="1363"/>
      <c r="T3" s="1366" t="s">
        <v>166</v>
      </c>
      <c r="U3" s="1367"/>
      <c r="V3" s="1366" t="s">
        <v>167</v>
      </c>
      <c r="W3" s="1367"/>
      <c r="X3" s="1366" t="s">
        <v>168</v>
      </c>
      <c r="Y3" s="1367"/>
      <c r="Z3" s="1312" t="s">
        <v>383</v>
      </c>
      <c r="AA3" s="1313"/>
      <c r="AB3" s="1366" t="s">
        <v>169</v>
      </c>
      <c r="AC3" s="1367"/>
      <c r="AD3" s="1423" t="s">
        <v>170</v>
      </c>
      <c r="AE3" s="1424"/>
      <c r="AF3" s="1366" t="s">
        <v>171</v>
      </c>
      <c r="AG3" s="1367"/>
      <c r="AH3" s="1366" t="s">
        <v>172</v>
      </c>
      <c r="AI3" s="1367"/>
      <c r="AJ3" s="1366" t="s">
        <v>173</v>
      </c>
      <c r="AK3" s="1425"/>
      <c r="AL3" s="1423" t="s">
        <v>174</v>
      </c>
      <c r="AM3" s="1424"/>
      <c r="AN3" s="1366" t="s">
        <v>175</v>
      </c>
      <c r="AO3" s="1367"/>
      <c r="AP3" s="1366" t="s">
        <v>176</v>
      </c>
      <c r="AQ3" s="1367"/>
      <c r="AR3" s="1366" t="s">
        <v>177</v>
      </c>
      <c r="AS3" s="1367"/>
      <c r="AT3" s="1366" t="s">
        <v>178</v>
      </c>
      <c r="AU3" s="1367"/>
      <c r="AV3" s="1366" t="s">
        <v>1</v>
      </c>
      <c r="AW3" s="1367"/>
      <c r="AX3" s="1423" t="s">
        <v>179</v>
      </c>
      <c r="AY3" s="1424"/>
      <c r="AZ3" s="1423" t="s">
        <v>2</v>
      </c>
      <c r="BA3" s="1424"/>
    </row>
    <row r="4" spans="1:54" ht="15" thickBot="1" x14ac:dyDescent="0.35">
      <c r="A4" s="1428"/>
      <c r="B4" s="996" t="s">
        <v>380</v>
      </c>
      <c r="C4" s="997" t="s">
        <v>423</v>
      </c>
      <c r="D4" s="998" t="s">
        <v>380</v>
      </c>
      <c r="E4" s="997" t="s">
        <v>423</v>
      </c>
      <c r="F4" s="998" t="s">
        <v>380</v>
      </c>
      <c r="G4" s="997" t="s">
        <v>423</v>
      </c>
      <c r="H4" s="998" t="s">
        <v>380</v>
      </c>
      <c r="I4" s="997" t="s">
        <v>423</v>
      </c>
      <c r="J4" s="998" t="s">
        <v>380</v>
      </c>
      <c r="K4" s="997" t="s">
        <v>423</v>
      </c>
      <c r="L4" s="998" t="s">
        <v>380</v>
      </c>
      <c r="M4" s="997" t="s">
        <v>423</v>
      </c>
      <c r="N4" s="996" t="s">
        <v>380</v>
      </c>
      <c r="O4" s="997" t="s">
        <v>423</v>
      </c>
      <c r="P4" s="998" t="s">
        <v>380</v>
      </c>
      <c r="Q4" s="997" t="s">
        <v>423</v>
      </c>
      <c r="R4" s="998" t="s">
        <v>380</v>
      </c>
      <c r="S4" s="997" t="s">
        <v>423</v>
      </c>
      <c r="T4" s="998" t="s">
        <v>380</v>
      </c>
      <c r="U4" s="997" t="s">
        <v>423</v>
      </c>
      <c r="V4" s="998" t="s">
        <v>380</v>
      </c>
      <c r="W4" s="997" t="s">
        <v>423</v>
      </c>
      <c r="X4" s="998" t="s">
        <v>380</v>
      </c>
      <c r="Y4" s="997" t="s">
        <v>423</v>
      </c>
      <c r="Z4" s="996" t="s">
        <v>380</v>
      </c>
      <c r="AA4" s="997" t="s">
        <v>423</v>
      </c>
      <c r="AB4" s="998" t="s">
        <v>380</v>
      </c>
      <c r="AC4" s="997" t="s">
        <v>423</v>
      </c>
      <c r="AD4" s="998" t="s">
        <v>380</v>
      </c>
      <c r="AE4" s="997" t="s">
        <v>423</v>
      </c>
      <c r="AF4" s="998" t="s">
        <v>380</v>
      </c>
      <c r="AG4" s="997" t="s">
        <v>423</v>
      </c>
      <c r="AH4" s="998" t="s">
        <v>380</v>
      </c>
      <c r="AI4" s="997" t="s">
        <v>423</v>
      </c>
      <c r="AJ4" s="998" t="s">
        <v>380</v>
      </c>
      <c r="AK4" s="997" t="s">
        <v>423</v>
      </c>
      <c r="AL4" s="996" t="s">
        <v>380</v>
      </c>
      <c r="AM4" s="997" t="s">
        <v>423</v>
      </c>
      <c r="AN4" s="998" t="s">
        <v>380</v>
      </c>
      <c r="AO4" s="997" t="s">
        <v>423</v>
      </c>
      <c r="AP4" s="998" t="s">
        <v>380</v>
      </c>
      <c r="AQ4" s="997" t="s">
        <v>423</v>
      </c>
      <c r="AR4" s="998" t="s">
        <v>380</v>
      </c>
      <c r="AS4" s="997" t="s">
        <v>423</v>
      </c>
      <c r="AT4" s="998" t="s">
        <v>380</v>
      </c>
      <c r="AU4" s="997" t="s">
        <v>423</v>
      </c>
      <c r="AV4" s="998" t="s">
        <v>380</v>
      </c>
      <c r="AW4" s="997" t="s">
        <v>423</v>
      </c>
      <c r="AX4" s="998" t="s">
        <v>380</v>
      </c>
      <c r="AY4" s="997" t="s">
        <v>423</v>
      </c>
      <c r="AZ4" s="998" t="s">
        <v>380</v>
      </c>
      <c r="BA4" s="997" t="s">
        <v>423</v>
      </c>
    </row>
    <row r="5" spans="1:54" ht="15" x14ac:dyDescent="0.3">
      <c r="A5" s="40" t="s">
        <v>3</v>
      </c>
      <c r="B5" s="1001">
        <v>118005</v>
      </c>
      <c r="C5" s="41">
        <v>95052</v>
      </c>
      <c r="D5" s="43">
        <v>10</v>
      </c>
      <c r="E5" s="44">
        <v>-6</v>
      </c>
      <c r="F5" s="43">
        <v>5352</v>
      </c>
      <c r="G5" s="44">
        <v>3735</v>
      </c>
      <c r="H5" s="43">
        <v>135111</v>
      </c>
      <c r="I5" s="44">
        <v>143537</v>
      </c>
      <c r="J5" s="43">
        <v>53027</v>
      </c>
      <c r="K5" s="44">
        <v>50619</v>
      </c>
      <c r="L5" s="43">
        <v>1564</v>
      </c>
      <c r="M5" s="44">
        <v>635</v>
      </c>
      <c r="N5" s="43">
        <v>11244</v>
      </c>
      <c r="O5" s="44">
        <v>10277</v>
      </c>
      <c r="P5" s="43">
        <v>39519</v>
      </c>
      <c r="Q5" s="44">
        <v>12892</v>
      </c>
      <c r="R5" s="43">
        <v>72002</v>
      </c>
      <c r="S5" s="44">
        <v>57820</v>
      </c>
      <c r="T5" s="43">
        <v>3718</v>
      </c>
      <c r="U5" s="44">
        <v>5869</v>
      </c>
      <c r="V5" s="43">
        <v>145494</v>
      </c>
      <c r="W5" s="44">
        <v>157380</v>
      </c>
      <c r="X5" s="43">
        <v>161403</v>
      </c>
      <c r="Y5" s="44">
        <v>171756</v>
      </c>
      <c r="Z5" s="36">
        <v>3987</v>
      </c>
      <c r="AA5" s="46">
        <v>4502</v>
      </c>
      <c r="AB5" s="43">
        <v>5530</v>
      </c>
      <c r="AC5" s="44">
        <v>8562</v>
      </c>
      <c r="AD5" s="43">
        <v>90558</v>
      </c>
      <c r="AE5" s="44">
        <v>78971</v>
      </c>
      <c r="AF5" s="43">
        <v>125979</v>
      </c>
      <c r="AG5" s="44">
        <v>106189</v>
      </c>
      <c r="AH5" s="43">
        <v>8059</v>
      </c>
      <c r="AI5" s="44">
        <v>9902</v>
      </c>
      <c r="AJ5" s="177">
        <v>63581</v>
      </c>
      <c r="AK5" s="305">
        <v>56201</v>
      </c>
      <c r="AL5" s="297"/>
      <c r="AM5" s="270"/>
      <c r="AN5" s="302">
        <v>582399</v>
      </c>
      <c r="AO5" s="303">
        <v>667014</v>
      </c>
      <c r="AP5" s="47">
        <v>5167</v>
      </c>
      <c r="AQ5" s="48">
        <v>4908</v>
      </c>
      <c r="AR5" s="49">
        <v>-11</v>
      </c>
      <c r="AS5" s="50">
        <v>19</v>
      </c>
      <c r="AT5" s="43">
        <v>133320</v>
      </c>
      <c r="AU5" s="44">
        <v>130893</v>
      </c>
      <c r="AV5" s="34">
        <f t="shared" ref="AV5:AV21" si="0">SUM(B5+D5+F5+H5+J5+L5+N5+P5+R5+T5+V5+X5+Z5+AB5+AD5+AF5+AH5+AJ5+AL5+AN5+AP5+AR5+AT5)</f>
        <v>1765018</v>
      </c>
      <c r="AW5" s="192">
        <f t="shared" ref="AW5:AW21" si="1">SUM(C5+E5+G5+I5+K5+M5+O5+Q5+S5+U5+W5+Y5+AA5+AC5+AE5+AG5+AI5+AK5+AM5+AO5+AQ5+AS5+AU5)</f>
        <v>1776727</v>
      </c>
      <c r="AX5" s="49">
        <v>19647857</v>
      </c>
      <c r="AY5" s="50">
        <v>20641416</v>
      </c>
      <c r="AZ5" s="51">
        <f t="shared" ref="AZ5:AZ21" si="2">AV5+AX5</f>
        <v>21412875</v>
      </c>
      <c r="BA5" s="52">
        <f t="shared" ref="BA5:BA21" si="3">AW5+AY5</f>
        <v>22418143</v>
      </c>
      <c r="BB5" s="53"/>
    </row>
    <row r="6" spans="1:54" ht="15" x14ac:dyDescent="0.3">
      <c r="A6" s="40" t="s">
        <v>4</v>
      </c>
      <c r="B6" s="1002">
        <v>128178</v>
      </c>
      <c r="C6" s="54">
        <v>116484</v>
      </c>
      <c r="D6" s="16"/>
      <c r="E6" s="19"/>
      <c r="F6" s="16">
        <v>10153</v>
      </c>
      <c r="G6" s="19">
        <v>14429</v>
      </c>
      <c r="H6" s="16">
        <v>174911</v>
      </c>
      <c r="I6" s="19">
        <v>192847</v>
      </c>
      <c r="J6" s="16">
        <v>8849</v>
      </c>
      <c r="K6" s="19">
        <v>10843</v>
      </c>
      <c r="L6" s="16">
        <v>145884</v>
      </c>
      <c r="M6" s="19">
        <v>152940</v>
      </c>
      <c r="N6" s="16">
        <v>619</v>
      </c>
      <c r="O6" s="19">
        <v>14</v>
      </c>
      <c r="P6" s="16">
        <v>10837</v>
      </c>
      <c r="Q6" s="19">
        <v>3287</v>
      </c>
      <c r="R6" s="16">
        <v>10476</v>
      </c>
      <c r="S6" s="19">
        <v>10024</v>
      </c>
      <c r="T6" s="16">
        <v>13407</v>
      </c>
      <c r="U6" s="19">
        <v>6697</v>
      </c>
      <c r="V6" s="16">
        <v>475266</v>
      </c>
      <c r="W6" s="19">
        <v>432427</v>
      </c>
      <c r="X6" s="16">
        <v>317272</v>
      </c>
      <c r="Y6" s="19">
        <v>297299</v>
      </c>
      <c r="Z6" s="20">
        <v>33013</v>
      </c>
      <c r="AA6" s="21">
        <v>33174</v>
      </c>
      <c r="AB6" s="16">
        <v>138626</v>
      </c>
      <c r="AC6" s="19">
        <v>208354</v>
      </c>
      <c r="AD6" s="16">
        <v>134250</v>
      </c>
      <c r="AE6" s="19">
        <v>135469</v>
      </c>
      <c r="AF6" s="16">
        <v>365917</v>
      </c>
      <c r="AG6" s="19">
        <v>322647</v>
      </c>
      <c r="AH6" s="16">
        <v>162669</v>
      </c>
      <c r="AI6" s="19">
        <v>163026</v>
      </c>
      <c r="AJ6" s="177">
        <v>4251</v>
      </c>
      <c r="AK6" s="17">
        <v>5046</v>
      </c>
      <c r="AL6" s="1"/>
      <c r="AM6" s="3"/>
      <c r="AN6" s="14">
        <v>984719</v>
      </c>
      <c r="AO6" s="15">
        <v>1113968</v>
      </c>
      <c r="AP6" s="22">
        <v>1765</v>
      </c>
      <c r="AQ6" s="23">
        <v>559</v>
      </c>
      <c r="AR6" s="24">
        <v>97624</v>
      </c>
      <c r="AS6" s="25">
        <v>128223</v>
      </c>
      <c r="AT6" s="16">
        <v>212741</v>
      </c>
      <c r="AU6" s="19">
        <v>218730</v>
      </c>
      <c r="AV6" s="34">
        <f t="shared" si="0"/>
        <v>3431427</v>
      </c>
      <c r="AW6" s="192">
        <f t="shared" si="1"/>
        <v>3566487</v>
      </c>
      <c r="AX6" s="24">
        <v>212182</v>
      </c>
      <c r="AY6" s="25">
        <v>216518</v>
      </c>
      <c r="AZ6" s="51">
        <f t="shared" si="2"/>
        <v>3643609</v>
      </c>
      <c r="BA6" s="52">
        <f t="shared" si="3"/>
        <v>3783005</v>
      </c>
    </row>
    <row r="7" spans="1:54" ht="15" x14ac:dyDescent="0.3">
      <c r="A7" s="40" t="s">
        <v>5</v>
      </c>
      <c r="B7" s="1002">
        <v>293</v>
      </c>
      <c r="C7" s="54">
        <v>201</v>
      </c>
      <c r="D7" s="16">
        <v>281</v>
      </c>
      <c r="E7" s="19">
        <v>-8</v>
      </c>
      <c r="F7" s="16">
        <v>1072</v>
      </c>
      <c r="G7" s="19">
        <v>951</v>
      </c>
      <c r="H7" s="16">
        <v>24869</v>
      </c>
      <c r="I7" s="19">
        <v>32832</v>
      </c>
      <c r="J7" s="16">
        <v>17429</v>
      </c>
      <c r="K7" s="19">
        <v>16772</v>
      </c>
      <c r="L7" s="16">
        <v>422</v>
      </c>
      <c r="M7" s="19">
        <v>149</v>
      </c>
      <c r="N7" s="16">
        <v>1647</v>
      </c>
      <c r="O7" s="19">
        <v>3652</v>
      </c>
      <c r="P7" s="16">
        <v>5523</v>
      </c>
      <c r="Q7" s="19">
        <v>1742</v>
      </c>
      <c r="R7" s="16">
        <v>3551</v>
      </c>
      <c r="S7" s="19">
        <v>2538</v>
      </c>
      <c r="T7" s="16">
        <v>2056</v>
      </c>
      <c r="U7" s="19">
        <v>2610</v>
      </c>
      <c r="V7" s="16">
        <v>52566</v>
      </c>
      <c r="W7" s="19">
        <v>60476</v>
      </c>
      <c r="X7" s="16">
        <v>35337</v>
      </c>
      <c r="Y7" s="19">
        <v>31955</v>
      </c>
      <c r="Z7" s="20"/>
      <c r="AA7" s="21"/>
      <c r="AB7" s="16">
        <v>5335</v>
      </c>
      <c r="AC7" s="19">
        <v>4481</v>
      </c>
      <c r="AD7" s="16">
        <v>4028</v>
      </c>
      <c r="AE7" s="19">
        <v>2076</v>
      </c>
      <c r="AF7" s="16">
        <v>6381</v>
      </c>
      <c r="AG7" s="19">
        <v>8079</v>
      </c>
      <c r="AH7" s="16">
        <v>2650</v>
      </c>
      <c r="AI7" s="19">
        <v>8040</v>
      </c>
      <c r="AJ7" s="177">
        <v>14549</v>
      </c>
      <c r="AK7" s="17">
        <v>11971</v>
      </c>
      <c r="AL7" s="1"/>
      <c r="AM7" s="3"/>
      <c r="AN7" s="14">
        <v>70442</v>
      </c>
      <c r="AO7" s="15">
        <v>87304</v>
      </c>
      <c r="AP7" s="22">
        <v>162787</v>
      </c>
      <c r="AQ7" s="23">
        <v>149298</v>
      </c>
      <c r="AR7" s="24"/>
      <c r="AS7" s="25"/>
      <c r="AT7" s="16">
        <v>6032</v>
      </c>
      <c r="AU7" s="19">
        <v>5744</v>
      </c>
      <c r="AV7" s="34">
        <f t="shared" si="0"/>
        <v>417250</v>
      </c>
      <c r="AW7" s="192">
        <f t="shared" si="1"/>
        <v>430863</v>
      </c>
      <c r="AX7" s="24">
        <v>24865</v>
      </c>
      <c r="AY7" s="25">
        <v>28360</v>
      </c>
      <c r="AZ7" s="51">
        <f t="shared" si="2"/>
        <v>442115</v>
      </c>
      <c r="BA7" s="52">
        <f t="shared" si="3"/>
        <v>459223</v>
      </c>
    </row>
    <row r="8" spans="1:54" ht="15" x14ac:dyDescent="0.3">
      <c r="A8" s="40" t="s">
        <v>6</v>
      </c>
      <c r="B8" s="1002">
        <v>116</v>
      </c>
      <c r="C8" s="54">
        <v>1950</v>
      </c>
      <c r="D8" s="16">
        <v>1985</v>
      </c>
      <c r="E8" s="19">
        <v>3439</v>
      </c>
      <c r="F8" s="16">
        <v>189</v>
      </c>
      <c r="G8" s="19">
        <v>164</v>
      </c>
      <c r="H8" s="16">
        <v>12242</v>
      </c>
      <c r="I8" s="19">
        <v>48636</v>
      </c>
      <c r="J8" s="16">
        <v>12991</v>
      </c>
      <c r="K8" s="19">
        <v>17587</v>
      </c>
      <c r="L8" s="16">
        <v>1732</v>
      </c>
      <c r="M8" s="19">
        <v>4928</v>
      </c>
      <c r="N8" s="16">
        <v>-16</v>
      </c>
      <c r="O8" s="19">
        <v>-3</v>
      </c>
      <c r="P8" s="16">
        <v>4646</v>
      </c>
      <c r="Q8" s="19">
        <v>1259</v>
      </c>
      <c r="R8" s="16">
        <v>42236</v>
      </c>
      <c r="S8" s="19">
        <v>39217</v>
      </c>
      <c r="T8" s="16">
        <v>611</v>
      </c>
      <c r="U8" s="19">
        <v>844</v>
      </c>
      <c r="V8" s="16">
        <v>44646</v>
      </c>
      <c r="W8" s="19">
        <v>60090</v>
      </c>
      <c r="X8" s="16">
        <v>32471</v>
      </c>
      <c r="Y8" s="19">
        <v>46043</v>
      </c>
      <c r="Z8" s="20">
        <v>771</v>
      </c>
      <c r="AA8" s="21">
        <v>1449</v>
      </c>
      <c r="AB8" s="16">
        <v>1756</v>
      </c>
      <c r="AC8" s="19">
        <v>7699</v>
      </c>
      <c r="AD8" s="16">
        <v>5364</v>
      </c>
      <c r="AE8" s="19">
        <v>9241</v>
      </c>
      <c r="AF8" s="16">
        <v>4017</v>
      </c>
      <c r="AG8" s="19">
        <v>67867</v>
      </c>
      <c r="AH8" s="16">
        <v>9932</v>
      </c>
      <c r="AI8" s="19">
        <v>6543</v>
      </c>
      <c r="AJ8" s="177">
        <v>8969</v>
      </c>
      <c r="AK8" s="17">
        <v>5647</v>
      </c>
      <c r="AL8" s="1"/>
      <c r="AM8" s="3"/>
      <c r="AN8" s="301">
        <v>163</v>
      </c>
      <c r="AO8" s="304">
        <v>587</v>
      </c>
      <c r="AP8" s="22">
        <v>26149</v>
      </c>
      <c r="AQ8" s="23">
        <v>26747</v>
      </c>
      <c r="AR8" s="24">
        <v>-4</v>
      </c>
      <c r="AS8" s="25">
        <v>18</v>
      </c>
      <c r="AT8" s="16">
        <v>32503</v>
      </c>
      <c r="AU8" s="19">
        <v>116572</v>
      </c>
      <c r="AV8" s="34">
        <f t="shared" si="0"/>
        <v>243469</v>
      </c>
      <c r="AW8" s="192">
        <f t="shared" si="1"/>
        <v>466524</v>
      </c>
      <c r="AX8" s="24">
        <v>1554</v>
      </c>
      <c r="AY8" s="25">
        <v>1492</v>
      </c>
      <c r="AZ8" s="51">
        <f t="shared" si="2"/>
        <v>245023</v>
      </c>
      <c r="BA8" s="52">
        <f t="shared" si="3"/>
        <v>468016</v>
      </c>
    </row>
    <row r="9" spans="1:54" ht="15" x14ac:dyDescent="0.3">
      <c r="A9" s="40" t="s">
        <v>7</v>
      </c>
      <c r="B9" s="1002"/>
      <c r="C9" s="54"/>
      <c r="D9" s="16"/>
      <c r="E9" s="19"/>
      <c r="F9" s="16"/>
      <c r="G9" s="19"/>
      <c r="H9" s="16"/>
      <c r="I9" s="19"/>
      <c r="J9" s="16"/>
      <c r="K9" s="19"/>
      <c r="L9" s="16"/>
      <c r="M9" s="19"/>
      <c r="N9" s="16"/>
      <c r="O9" s="19"/>
      <c r="P9" s="16">
        <v>6</v>
      </c>
      <c r="Q9" s="19"/>
      <c r="R9" s="16"/>
      <c r="S9" s="19"/>
      <c r="T9" s="16"/>
      <c r="U9" s="19"/>
      <c r="V9" s="16"/>
      <c r="W9" s="19"/>
      <c r="X9" s="16"/>
      <c r="Y9" s="19"/>
      <c r="Z9" s="20"/>
      <c r="AA9" s="21"/>
      <c r="AB9" s="16"/>
      <c r="AC9" s="19"/>
      <c r="AD9" s="196">
        <v>2835</v>
      </c>
      <c r="AE9" s="284">
        <v>5241</v>
      </c>
      <c r="AF9" s="16"/>
      <c r="AG9" s="19"/>
      <c r="AH9" s="16"/>
      <c r="AI9" s="19"/>
      <c r="AJ9" s="177"/>
      <c r="AK9" s="17"/>
      <c r="AL9" s="1"/>
      <c r="AM9" s="3"/>
      <c r="AN9" s="68"/>
      <c r="AO9" s="69"/>
      <c r="AP9" s="22"/>
      <c r="AQ9" s="23"/>
      <c r="AR9" s="24"/>
      <c r="AS9" s="25"/>
      <c r="AT9" s="16">
        <v>21772</v>
      </c>
      <c r="AU9" s="19">
        <v>21886</v>
      </c>
      <c r="AV9" s="43">
        <f t="shared" si="0"/>
        <v>24613</v>
      </c>
      <c r="AW9" s="44">
        <f t="shared" si="1"/>
        <v>27127</v>
      </c>
      <c r="AX9" s="16">
        <v>992200</v>
      </c>
      <c r="AY9" s="19">
        <v>732007</v>
      </c>
      <c r="AZ9" s="42">
        <f t="shared" si="2"/>
        <v>1016813</v>
      </c>
      <c r="BA9" s="632">
        <f t="shared" si="3"/>
        <v>759134</v>
      </c>
    </row>
    <row r="10" spans="1:54" ht="15" x14ac:dyDescent="0.3">
      <c r="A10" s="40" t="s">
        <v>15</v>
      </c>
      <c r="B10" s="1002"/>
      <c r="C10" s="54"/>
      <c r="D10" s="16"/>
      <c r="E10" s="19"/>
      <c r="F10" s="16"/>
      <c r="G10" s="19"/>
      <c r="H10" s="16"/>
      <c r="I10" s="19"/>
      <c r="J10" s="16"/>
      <c r="K10" s="19"/>
      <c r="L10" s="16"/>
      <c r="M10" s="19"/>
      <c r="N10" s="16"/>
      <c r="O10" s="19"/>
      <c r="P10" s="16"/>
      <c r="Q10" s="19"/>
      <c r="R10" s="16"/>
      <c r="S10" s="19"/>
      <c r="T10" s="16"/>
      <c r="U10" s="19"/>
      <c r="V10" s="16"/>
      <c r="W10" s="19"/>
      <c r="X10" s="16"/>
      <c r="Y10" s="19"/>
      <c r="Z10" s="16"/>
      <c r="AA10" s="19"/>
      <c r="AB10" s="16">
        <v>28997</v>
      </c>
      <c r="AC10" s="19">
        <v>18307</v>
      </c>
      <c r="AD10" s="16"/>
      <c r="AE10" s="19">
        <v>6641</v>
      </c>
      <c r="AF10" s="16"/>
      <c r="AG10" s="19"/>
      <c r="AH10" s="16"/>
      <c r="AI10" s="19"/>
      <c r="AJ10" s="177"/>
      <c r="AK10" s="17"/>
      <c r="AL10" s="1"/>
      <c r="AM10" s="3"/>
      <c r="AN10" s="68"/>
      <c r="AO10" s="69"/>
      <c r="AP10" s="22"/>
      <c r="AQ10" s="23"/>
      <c r="AR10" s="24"/>
      <c r="AS10" s="25"/>
      <c r="AT10" s="16"/>
      <c r="AU10" s="19"/>
      <c r="AV10" s="34">
        <f t="shared" si="0"/>
        <v>28997</v>
      </c>
      <c r="AW10" s="192">
        <f t="shared" si="1"/>
        <v>24948</v>
      </c>
      <c r="AX10" s="24"/>
      <c r="AY10" s="25">
        <v>63487</v>
      </c>
      <c r="AZ10" s="51">
        <f t="shared" si="2"/>
        <v>28997</v>
      </c>
      <c r="BA10" s="52">
        <f t="shared" si="3"/>
        <v>88435</v>
      </c>
    </row>
    <row r="11" spans="1:54" ht="15" x14ac:dyDescent="0.3">
      <c r="A11" s="1254" t="s">
        <v>8</v>
      </c>
      <c r="B11" s="1002"/>
      <c r="C11" s="54"/>
      <c r="D11" s="16"/>
      <c r="E11" s="19"/>
      <c r="F11" s="16"/>
      <c r="G11" s="19"/>
      <c r="H11" s="16"/>
      <c r="I11" s="19"/>
      <c r="J11" s="16"/>
      <c r="K11" s="19"/>
      <c r="L11" s="16"/>
      <c r="M11" s="19"/>
      <c r="N11" s="16"/>
      <c r="O11" s="19"/>
      <c r="P11" s="16"/>
      <c r="Q11" s="19"/>
      <c r="R11" s="16"/>
      <c r="S11" s="19"/>
      <c r="T11" s="16"/>
      <c r="U11" s="19"/>
      <c r="V11" s="16"/>
      <c r="W11" s="19"/>
      <c r="X11" s="16"/>
      <c r="Y11" s="19"/>
      <c r="Z11" s="16"/>
      <c r="AA11" s="19"/>
      <c r="AB11" s="16">
        <v>17320</v>
      </c>
      <c r="AC11" s="19">
        <v>18068</v>
      </c>
      <c r="AD11" s="16"/>
      <c r="AE11" s="19"/>
      <c r="AF11" s="16"/>
      <c r="AG11" s="19"/>
      <c r="AH11" s="16"/>
      <c r="AI11" s="19"/>
      <c r="AJ11" s="177"/>
      <c r="AK11" s="17"/>
      <c r="AL11" s="1"/>
      <c r="AM11" s="3"/>
      <c r="AN11" s="14"/>
      <c r="AO11" s="15"/>
      <c r="AP11" s="22"/>
      <c r="AQ11" s="23"/>
      <c r="AR11" s="24"/>
      <c r="AS11" s="25"/>
      <c r="AT11" s="16"/>
      <c r="AU11" s="19"/>
      <c r="AV11" s="34">
        <f t="shared" si="0"/>
        <v>17320</v>
      </c>
      <c r="AW11" s="192">
        <f t="shared" si="1"/>
        <v>18068</v>
      </c>
      <c r="AX11" s="24"/>
      <c r="AY11" s="25"/>
      <c r="AZ11" s="51">
        <f t="shared" si="2"/>
        <v>17320</v>
      </c>
      <c r="BA11" s="52">
        <f t="shared" si="3"/>
        <v>18068</v>
      </c>
    </row>
    <row r="12" spans="1:54" ht="15" x14ac:dyDescent="0.3">
      <c r="A12" s="40" t="s">
        <v>424</v>
      </c>
      <c r="B12" s="1002">
        <v>952</v>
      </c>
      <c r="C12" s="54">
        <v>2205</v>
      </c>
      <c r="D12" s="16">
        <v>4619</v>
      </c>
      <c r="E12" s="19">
        <v>1510</v>
      </c>
      <c r="F12" s="16">
        <v>601</v>
      </c>
      <c r="G12" s="19">
        <v>103</v>
      </c>
      <c r="H12" s="16">
        <v>4141</v>
      </c>
      <c r="I12" s="19">
        <v>3087</v>
      </c>
      <c r="J12" s="16">
        <v>4375</v>
      </c>
      <c r="K12" s="19">
        <v>9927</v>
      </c>
      <c r="L12" s="16">
        <v>4051</v>
      </c>
      <c r="M12" s="19">
        <v>3349</v>
      </c>
      <c r="N12" s="16">
        <v>249</v>
      </c>
      <c r="O12" s="19"/>
      <c r="P12" s="16">
        <v>4732</v>
      </c>
      <c r="Q12" s="19">
        <v>1178</v>
      </c>
      <c r="R12" s="16"/>
      <c r="S12" s="19"/>
      <c r="T12" s="16">
        <v>4833</v>
      </c>
      <c r="U12" s="19">
        <v>73</v>
      </c>
      <c r="V12" s="16">
        <v>173306</v>
      </c>
      <c r="W12" s="19">
        <v>107666</v>
      </c>
      <c r="X12" s="16">
        <v>26635</v>
      </c>
      <c r="Y12" s="19">
        <v>23087</v>
      </c>
      <c r="Z12" s="16">
        <v>83</v>
      </c>
      <c r="AA12" s="19">
        <v>11</v>
      </c>
      <c r="AB12" s="16"/>
      <c r="AC12" s="19"/>
      <c r="AD12" s="16">
        <v>1834</v>
      </c>
      <c r="AE12" s="19">
        <v>2475</v>
      </c>
      <c r="AF12" s="16">
        <v>35830</v>
      </c>
      <c r="AG12" s="19">
        <v>38581</v>
      </c>
      <c r="AH12" s="16">
        <v>1537</v>
      </c>
      <c r="AI12" s="19">
        <v>1013</v>
      </c>
      <c r="AJ12" s="177">
        <v>145</v>
      </c>
      <c r="AK12" s="17">
        <v>14</v>
      </c>
      <c r="AL12" s="1"/>
      <c r="AM12" s="3"/>
      <c r="AN12" s="14">
        <v>6434</v>
      </c>
      <c r="AO12" s="15">
        <v>35929</v>
      </c>
      <c r="AP12" s="22">
        <v>5437</v>
      </c>
      <c r="AQ12" s="23">
        <v>5764</v>
      </c>
      <c r="AR12" s="24"/>
      <c r="AS12" s="25"/>
      <c r="AT12" s="16">
        <v>966</v>
      </c>
      <c r="AU12" s="19">
        <v>6598</v>
      </c>
      <c r="AV12" s="34">
        <f t="shared" si="0"/>
        <v>280760</v>
      </c>
      <c r="AW12" s="192">
        <f t="shared" si="1"/>
        <v>242570</v>
      </c>
      <c r="AX12" s="24">
        <v>19352</v>
      </c>
      <c r="AY12" s="25">
        <v>13933</v>
      </c>
      <c r="AZ12" s="51">
        <f t="shared" si="2"/>
        <v>300112</v>
      </c>
      <c r="BA12" s="52">
        <f t="shared" si="3"/>
        <v>256503</v>
      </c>
    </row>
    <row r="13" spans="1:54" ht="15" x14ac:dyDescent="0.3">
      <c r="A13" s="40" t="s">
        <v>425</v>
      </c>
      <c r="B13" s="1002">
        <v>8031</v>
      </c>
      <c r="C13" s="54">
        <v>8133</v>
      </c>
      <c r="D13" s="16">
        <v>7882</v>
      </c>
      <c r="E13" s="19">
        <v>2165</v>
      </c>
      <c r="F13" s="16">
        <v>4342</v>
      </c>
      <c r="G13" s="19">
        <v>5132</v>
      </c>
      <c r="H13" s="16">
        <v>32622</v>
      </c>
      <c r="I13" s="19">
        <v>49242</v>
      </c>
      <c r="J13" s="16">
        <v>19374</v>
      </c>
      <c r="K13" s="19">
        <v>16033</v>
      </c>
      <c r="L13" s="16">
        <v>1849</v>
      </c>
      <c r="M13" s="19">
        <v>4680</v>
      </c>
      <c r="N13" s="16">
        <v>169.3</v>
      </c>
      <c r="O13" s="19">
        <v>14907</v>
      </c>
      <c r="P13" s="16">
        <v>13926</v>
      </c>
      <c r="Q13" s="19">
        <v>7843</v>
      </c>
      <c r="R13" s="16">
        <v>9323</v>
      </c>
      <c r="S13" s="19">
        <v>10399</v>
      </c>
      <c r="T13" s="16">
        <v>28406</v>
      </c>
      <c r="U13" s="19">
        <v>22566</v>
      </c>
      <c r="V13" s="16">
        <v>84377</v>
      </c>
      <c r="W13" s="19">
        <v>86215</v>
      </c>
      <c r="X13" s="16">
        <v>74258</v>
      </c>
      <c r="Y13" s="19">
        <v>74230</v>
      </c>
      <c r="Z13" s="16">
        <v>3713</v>
      </c>
      <c r="AA13" s="19">
        <v>5009</v>
      </c>
      <c r="AB13" s="16"/>
      <c r="AC13" s="19"/>
      <c r="AD13" s="16">
        <v>100833</v>
      </c>
      <c r="AE13" s="19">
        <v>95385</v>
      </c>
      <c r="AF13" s="16">
        <v>44458</v>
      </c>
      <c r="AG13" s="19">
        <v>48845</v>
      </c>
      <c r="AH13" s="16">
        <v>44832</v>
      </c>
      <c r="AI13" s="19">
        <v>56789</v>
      </c>
      <c r="AJ13" s="177">
        <v>98728</v>
      </c>
      <c r="AK13" s="17">
        <v>76884</v>
      </c>
      <c r="AL13" s="1"/>
      <c r="AM13" s="3"/>
      <c r="AN13" s="14">
        <v>10586</v>
      </c>
      <c r="AO13" s="15">
        <v>14207</v>
      </c>
      <c r="AP13" s="22">
        <v>93592</v>
      </c>
      <c r="AQ13" s="23">
        <v>84260</v>
      </c>
      <c r="AR13" s="24">
        <v>1938</v>
      </c>
      <c r="AS13" s="25">
        <v>544</v>
      </c>
      <c r="AT13" s="16">
        <v>19963</v>
      </c>
      <c r="AU13" s="19">
        <v>16815</v>
      </c>
      <c r="AV13" s="34">
        <f t="shared" si="0"/>
        <v>703202.3</v>
      </c>
      <c r="AW13" s="192">
        <f t="shared" si="1"/>
        <v>700283</v>
      </c>
      <c r="AX13" s="24">
        <v>69120</v>
      </c>
      <c r="AY13" s="25">
        <v>2107</v>
      </c>
      <c r="AZ13" s="51">
        <f t="shared" si="2"/>
        <v>772322.3</v>
      </c>
      <c r="BA13" s="52">
        <f t="shared" si="3"/>
        <v>702390</v>
      </c>
    </row>
    <row r="14" spans="1:54" ht="15" x14ac:dyDescent="0.3">
      <c r="A14" s="40" t="s">
        <v>16</v>
      </c>
      <c r="B14" s="1002">
        <v>1612</v>
      </c>
      <c r="C14" s="54">
        <v>1057</v>
      </c>
      <c r="D14" s="16"/>
      <c r="E14" s="19"/>
      <c r="F14" s="16">
        <v>192</v>
      </c>
      <c r="G14" s="19">
        <v>291</v>
      </c>
      <c r="H14" s="16">
        <v>7373</v>
      </c>
      <c r="I14" s="19">
        <v>1230</v>
      </c>
      <c r="J14" s="16">
        <v>479</v>
      </c>
      <c r="K14" s="19">
        <v>68</v>
      </c>
      <c r="L14" s="16">
        <v>18277</v>
      </c>
      <c r="M14" s="19">
        <v>10566</v>
      </c>
      <c r="N14" s="16"/>
      <c r="O14" s="19"/>
      <c r="P14" s="16"/>
      <c r="Q14" s="19"/>
      <c r="R14" s="16">
        <v>7371</v>
      </c>
      <c r="S14" s="19">
        <v>5492</v>
      </c>
      <c r="T14" s="16"/>
      <c r="U14" s="19"/>
      <c r="V14" s="16"/>
      <c r="W14" s="19"/>
      <c r="X14" s="16"/>
      <c r="Y14" s="19"/>
      <c r="Z14" s="16">
        <v>303</v>
      </c>
      <c r="AA14" s="19">
        <v>205</v>
      </c>
      <c r="AB14" s="16"/>
      <c r="AC14" s="19"/>
      <c r="AD14" s="16">
        <v>201</v>
      </c>
      <c r="AE14" s="19">
        <v>2870</v>
      </c>
      <c r="AF14" s="16"/>
      <c r="AG14" s="19"/>
      <c r="AH14" s="16"/>
      <c r="AI14" s="19"/>
      <c r="AJ14" s="177"/>
      <c r="AK14" s="17"/>
      <c r="AL14" s="1"/>
      <c r="AM14" s="3"/>
      <c r="AN14" s="14"/>
      <c r="AO14" s="15">
        <v>3220</v>
      </c>
      <c r="AP14" s="22"/>
      <c r="AQ14" s="23"/>
      <c r="AR14" s="24"/>
      <c r="AS14" s="25"/>
      <c r="AT14" s="16"/>
      <c r="AU14" s="19"/>
      <c r="AV14" s="34">
        <f t="shared" si="0"/>
        <v>35808</v>
      </c>
      <c r="AW14" s="192">
        <f t="shared" si="1"/>
        <v>24999</v>
      </c>
      <c r="AX14" s="24"/>
      <c r="AY14" s="25">
        <v>1725</v>
      </c>
      <c r="AZ14" s="51">
        <f t="shared" si="2"/>
        <v>35808</v>
      </c>
      <c r="BA14" s="52">
        <f t="shared" si="3"/>
        <v>26724</v>
      </c>
    </row>
    <row r="15" spans="1:54" ht="15" x14ac:dyDescent="0.3">
      <c r="A15" s="40" t="s">
        <v>17</v>
      </c>
      <c r="B15" s="1002"/>
      <c r="C15" s="54"/>
      <c r="D15" s="16">
        <v>3</v>
      </c>
      <c r="E15" s="19"/>
      <c r="F15" s="16"/>
      <c r="G15" s="19"/>
      <c r="H15" s="16"/>
      <c r="I15" s="19"/>
      <c r="J15" s="16"/>
      <c r="K15" s="19"/>
      <c r="L15" s="16"/>
      <c r="M15" s="19"/>
      <c r="N15" s="16"/>
      <c r="O15" s="19"/>
      <c r="P15" s="16"/>
      <c r="Q15" s="19"/>
      <c r="R15" s="16"/>
      <c r="S15" s="19"/>
      <c r="T15" s="16">
        <v>218</v>
      </c>
      <c r="U15" s="19">
        <v>406</v>
      </c>
      <c r="V15" s="16">
        <v>201</v>
      </c>
      <c r="W15" s="19">
        <v>252</v>
      </c>
      <c r="X15" s="16">
        <v>937</v>
      </c>
      <c r="Y15" s="19">
        <v>1279</v>
      </c>
      <c r="Z15" s="16"/>
      <c r="AA15" s="19"/>
      <c r="AB15" s="16"/>
      <c r="AC15" s="19"/>
      <c r="AD15" s="16"/>
      <c r="AE15" s="19"/>
      <c r="AF15" s="16">
        <v>7784</v>
      </c>
      <c r="AG15" s="19">
        <v>3956</v>
      </c>
      <c r="AH15" s="16">
        <v>2580</v>
      </c>
      <c r="AI15" s="19">
        <v>3915</v>
      </c>
      <c r="AJ15" s="177"/>
      <c r="AK15" s="17"/>
      <c r="AL15" s="1"/>
      <c r="AM15" s="3"/>
      <c r="AN15" s="14">
        <v>60</v>
      </c>
      <c r="AO15" s="15">
        <v>18</v>
      </c>
      <c r="AP15" s="22"/>
      <c r="AQ15" s="23"/>
      <c r="AR15" s="24"/>
      <c r="AS15" s="25"/>
      <c r="AT15" s="16"/>
      <c r="AU15" s="19"/>
      <c r="AV15" s="34">
        <f t="shared" si="0"/>
        <v>11783</v>
      </c>
      <c r="AW15" s="192">
        <f t="shared" si="1"/>
        <v>9826</v>
      </c>
      <c r="AX15" s="24">
        <v>8309</v>
      </c>
      <c r="AY15" s="25">
        <v>17650</v>
      </c>
      <c r="AZ15" s="51">
        <f t="shared" si="2"/>
        <v>20092</v>
      </c>
      <c r="BA15" s="52">
        <f t="shared" si="3"/>
        <v>27476</v>
      </c>
    </row>
    <row r="16" spans="1:54" ht="15" x14ac:dyDescent="0.3">
      <c r="A16" s="40" t="s">
        <v>18</v>
      </c>
      <c r="B16" s="1002"/>
      <c r="C16" s="54"/>
      <c r="D16" s="16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6"/>
      <c r="Y16" s="19"/>
      <c r="Z16" s="16"/>
      <c r="AA16" s="19"/>
      <c r="AB16" s="16"/>
      <c r="AC16" s="19"/>
      <c r="AD16" s="16"/>
      <c r="AE16" s="19"/>
      <c r="AF16" s="16"/>
      <c r="AG16" s="19"/>
      <c r="AH16" s="16"/>
      <c r="AI16" s="19"/>
      <c r="AJ16" s="177"/>
      <c r="AK16" s="17"/>
      <c r="AL16" s="1"/>
      <c r="AM16" s="3"/>
      <c r="AN16" s="14"/>
      <c r="AO16" s="15"/>
      <c r="AP16" s="22"/>
      <c r="AQ16" s="23"/>
      <c r="AR16" s="24"/>
      <c r="AS16" s="25"/>
      <c r="AT16" s="16"/>
      <c r="AU16" s="19"/>
      <c r="AV16" s="34">
        <f t="shared" si="0"/>
        <v>0</v>
      </c>
      <c r="AW16" s="192">
        <f t="shared" si="1"/>
        <v>0</v>
      </c>
      <c r="AX16" s="24"/>
      <c r="AY16" s="25"/>
      <c r="AZ16" s="51">
        <f t="shared" si="2"/>
        <v>0</v>
      </c>
      <c r="BA16" s="52">
        <f t="shared" si="3"/>
        <v>0</v>
      </c>
    </row>
    <row r="17" spans="1:53" ht="15" x14ac:dyDescent="0.3">
      <c r="A17" s="40" t="s">
        <v>19</v>
      </c>
      <c r="B17" s="1003">
        <v>369</v>
      </c>
      <c r="C17" s="550">
        <v>416</v>
      </c>
      <c r="D17" s="551">
        <v>4395</v>
      </c>
      <c r="E17" s="552">
        <v>2230</v>
      </c>
      <c r="F17" s="551"/>
      <c r="G17" s="552"/>
      <c r="H17" s="551">
        <v>35734</v>
      </c>
      <c r="I17" s="552">
        <v>3563</v>
      </c>
      <c r="J17" s="551">
        <v>307</v>
      </c>
      <c r="K17" s="552">
        <v>34</v>
      </c>
      <c r="L17" s="551">
        <v>5933</v>
      </c>
      <c r="M17" s="552">
        <v>879</v>
      </c>
      <c r="N17" s="551"/>
      <c r="O17" s="552"/>
      <c r="P17" s="551">
        <v>942</v>
      </c>
      <c r="Q17" s="552">
        <v>93</v>
      </c>
      <c r="R17" s="551"/>
      <c r="S17" s="552"/>
      <c r="T17" s="551"/>
      <c r="U17" s="552"/>
      <c r="V17" s="551">
        <v>6151</v>
      </c>
      <c r="W17" s="552">
        <v>10596</v>
      </c>
      <c r="X17" s="551">
        <v>13198</v>
      </c>
      <c r="Y17" s="552">
        <v>5680</v>
      </c>
      <c r="Z17" s="551"/>
      <c r="AA17" s="552"/>
      <c r="AB17" s="551"/>
      <c r="AC17" s="552"/>
      <c r="AD17" s="551"/>
      <c r="AE17" s="552">
        <v>871</v>
      </c>
      <c r="AF17" s="551">
        <v>54261</v>
      </c>
      <c r="AG17" s="552">
        <v>17835</v>
      </c>
      <c r="AH17" s="551">
        <v>15395</v>
      </c>
      <c r="AI17" s="552">
        <v>8087</v>
      </c>
      <c r="AJ17" s="187">
        <v>201</v>
      </c>
      <c r="AK17" s="553"/>
      <c r="AL17" s="237"/>
      <c r="AM17" s="241"/>
      <c r="AN17" s="554">
        <v>1574</v>
      </c>
      <c r="AO17" s="555">
        <v>673</v>
      </c>
      <c r="AP17" s="556">
        <v>74</v>
      </c>
      <c r="AQ17" s="557">
        <v>-3</v>
      </c>
      <c r="AR17" s="558"/>
      <c r="AS17" s="559"/>
      <c r="AT17" s="551">
        <v>32973</v>
      </c>
      <c r="AU17" s="552">
        <v>14283</v>
      </c>
      <c r="AV17" s="560">
        <f t="shared" si="0"/>
        <v>171507</v>
      </c>
      <c r="AW17" s="561">
        <f t="shared" si="1"/>
        <v>65237</v>
      </c>
      <c r="AX17" s="558"/>
      <c r="AY17" s="559"/>
      <c r="AZ17" s="562">
        <f t="shared" si="2"/>
        <v>171507</v>
      </c>
      <c r="BA17" s="563">
        <f t="shared" si="3"/>
        <v>65237</v>
      </c>
    </row>
    <row r="18" spans="1:53" ht="15.75" thickBot="1" x14ac:dyDescent="0.35">
      <c r="A18" s="40" t="s">
        <v>73</v>
      </c>
      <c r="B18" s="1255"/>
      <c r="C18" s="1256"/>
      <c r="D18" s="1257"/>
      <c r="E18" s="264"/>
      <c r="F18" s="1257"/>
      <c r="G18" s="264"/>
      <c r="H18" s="1257"/>
      <c r="I18" s="264"/>
      <c r="J18" s="1257"/>
      <c r="K18" s="264"/>
      <c r="L18" s="1257"/>
      <c r="M18" s="264"/>
      <c r="N18" s="1257"/>
      <c r="O18" s="264"/>
      <c r="P18" s="1257"/>
      <c r="Q18" s="264"/>
      <c r="R18" s="1257"/>
      <c r="S18" s="264"/>
      <c r="T18" s="1257"/>
      <c r="U18" s="264"/>
      <c r="V18" s="1257"/>
      <c r="W18" s="264"/>
      <c r="X18" s="1257"/>
      <c r="Y18" s="264">
        <v>956</v>
      </c>
      <c r="Z18" s="1257"/>
      <c r="AA18" s="264"/>
      <c r="AB18" s="1257"/>
      <c r="AC18" s="264"/>
      <c r="AD18" s="1257"/>
      <c r="AE18" s="264"/>
      <c r="AF18" s="1257"/>
      <c r="AG18" s="264"/>
      <c r="AH18" s="1257"/>
      <c r="AI18" s="264"/>
      <c r="AJ18" s="1258"/>
      <c r="AK18" s="264"/>
      <c r="AL18" s="1259"/>
      <c r="AM18" s="669"/>
      <c r="AN18" s="1260"/>
      <c r="AO18" s="1261"/>
      <c r="AP18" s="1262"/>
      <c r="AQ18" s="1263"/>
      <c r="AR18" s="1264"/>
      <c r="AS18" s="1265"/>
      <c r="AT18" s="551"/>
      <c r="AU18" s="265"/>
      <c r="AV18" s="560">
        <f t="shared" si="0"/>
        <v>0</v>
      </c>
      <c r="AW18" s="561">
        <f t="shared" si="1"/>
        <v>956</v>
      </c>
      <c r="AX18" s="1264"/>
      <c r="AY18" s="1266"/>
      <c r="AZ18" s="562"/>
      <c r="BA18" s="563"/>
    </row>
    <row r="19" spans="1:53" s="378" customFormat="1" ht="15" thickBot="1" x14ac:dyDescent="0.35">
      <c r="A19" s="1000" t="s">
        <v>20</v>
      </c>
      <c r="B19" s="564">
        <f t="shared" ref="B19:AU19" si="4">SUM(B5:B17)</f>
        <v>257556</v>
      </c>
      <c r="C19" s="569">
        <f t="shared" si="4"/>
        <v>225498</v>
      </c>
      <c r="D19" s="564">
        <f t="shared" si="4"/>
        <v>19175</v>
      </c>
      <c r="E19" s="564">
        <f t="shared" si="4"/>
        <v>9330</v>
      </c>
      <c r="F19" s="564">
        <f t="shared" si="4"/>
        <v>21901</v>
      </c>
      <c r="G19" s="564">
        <f t="shared" si="4"/>
        <v>24805</v>
      </c>
      <c r="H19" s="564">
        <f t="shared" si="4"/>
        <v>427003</v>
      </c>
      <c r="I19" s="564">
        <f t="shared" si="4"/>
        <v>474974</v>
      </c>
      <c r="J19" s="564">
        <f t="shared" si="4"/>
        <v>116831</v>
      </c>
      <c r="K19" s="564">
        <f t="shared" si="4"/>
        <v>121883</v>
      </c>
      <c r="L19" s="564">
        <f t="shared" si="4"/>
        <v>179712</v>
      </c>
      <c r="M19" s="564">
        <f t="shared" si="4"/>
        <v>178126</v>
      </c>
      <c r="N19" s="564">
        <f t="shared" si="4"/>
        <v>13912.3</v>
      </c>
      <c r="O19" s="564">
        <f t="shared" si="4"/>
        <v>28847</v>
      </c>
      <c r="P19" s="564">
        <f t="shared" si="4"/>
        <v>80131</v>
      </c>
      <c r="Q19" s="564">
        <f t="shared" si="4"/>
        <v>28294</v>
      </c>
      <c r="R19" s="564">
        <f t="shared" si="4"/>
        <v>144959</v>
      </c>
      <c r="S19" s="564">
        <f t="shared" si="4"/>
        <v>125490</v>
      </c>
      <c r="T19" s="564">
        <f t="shared" si="4"/>
        <v>53249</v>
      </c>
      <c r="U19" s="564">
        <f t="shared" si="4"/>
        <v>39065</v>
      </c>
      <c r="V19" s="564">
        <f t="shared" si="4"/>
        <v>982007</v>
      </c>
      <c r="W19" s="564">
        <f t="shared" si="4"/>
        <v>915102</v>
      </c>
      <c r="X19" s="564">
        <f t="shared" si="4"/>
        <v>661511</v>
      </c>
      <c r="Y19" s="564">
        <f>SUM(Y5:Y18)</f>
        <v>652285</v>
      </c>
      <c r="Z19" s="564">
        <f t="shared" si="4"/>
        <v>41870</v>
      </c>
      <c r="AA19" s="564">
        <f t="shared" si="4"/>
        <v>44350</v>
      </c>
      <c r="AB19" s="564">
        <f t="shared" si="4"/>
        <v>197564</v>
      </c>
      <c r="AC19" s="564">
        <f t="shared" si="4"/>
        <v>265471</v>
      </c>
      <c r="AD19" s="564">
        <f t="shared" si="4"/>
        <v>339903</v>
      </c>
      <c r="AE19" s="564">
        <f t="shared" si="4"/>
        <v>339240</v>
      </c>
      <c r="AF19" s="564">
        <f t="shared" si="4"/>
        <v>644627</v>
      </c>
      <c r="AG19" s="564">
        <f t="shared" si="4"/>
        <v>613999</v>
      </c>
      <c r="AH19" s="564">
        <f t="shared" si="4"/>
        <v>247654</v>
      </c>
      <c r="AI19" s="564">
        <f t="shared" si="4"/>
        <v>257315</v>
      </c>
      <c r="AJ19" s="564">
        <f t="shared" si="4"/>
        <v>190424</v>
      </c>
      <c r="AK19" s="565">
        <f t="shared" si="4"/>
        <v>155763</v>
      </c>
      <c r="AL19" s="564">
        <f t="shared" si="4"/>
        <v>0</v>
      </c>
      <c r="AM19" s="567">
        <f t="shared" si="4"/>
        <v>0</v>
      </c>
      <c r="AN19" s="566">
        <f t="shared" si="4"/>
        <v>1656377</v>
      </c>
      <c r="AO19" s="567">
        <f t="shared" si="4"/>
        <v>1922920</v>
      </c>
      <c r="AP19" s="564">
        <f t="shared" si="4"/>
        <v>294971</v>
      </c>
      <c r="AQ19" s="564">
        <f t="shared" si="4"/>
        <v>271533</v>
      </c>
      <c r="AR19" s="564">
        <f t="shared" si="4"/>
        <v>99547</v>
      </c>
      <c r="AS19" s="564">
        <f t="shared" si="4"/>
        <v>128804</v>
      </c>
      <c r="AT19" s="564">
        <f t="shared" si="4"/>
        <v>460270</v>
      </c>
      <c r="AU19" s="569">
        <f t="shared" si="4"/>
        <v>531521</v>
      </c>
      <c r="AV19" s="570">
        <f t="shared" si="0"/>
        <v>7131154.2999999998</v>
      </c>
      <c r="AW19" s="571">
        <f t="shared" si="1"/>
        <v>7354615</v>
      </c>
      <c r="AX19" s="572">
        <f>SUM(AX5:AX17)</f>
        <v>20975439</v>
      </c>
      <c r="AY19" s="573">
        <f>SUM(AY5:AY17)</f>
        <v>21718695</v>
      </c>
      <c r="AZ19" s="574">
        <f t="shared" si="2"/>
        <v>28106593.300000001</v>
      </c>
      <c r="BA19" s="575">
        <f t="shared" si="3"/>
        <v>29073310</v>
      </c>
    </row>
    <row r="20" spans="1:53" s="649" customFormat="1" ht="15" thickBot="1" x14ac:dyDescent="0.35">
      <c r="A20" s="633" t="s">
        <v>11</v>
      </c>
      <c r="B20" s="1004"/>
      <c r="C20" s="634"/>
      <c r="D20" s="635"/>
      <c r="E20" s="636"/>
      <c r="F20" s="635"/>
      <c r="G20" s="636"/>
      <c r="H20" s="635"/>
      <c r="I20" s="636"/>
      <c r="J20" s="635"/>
      <c r="K20" s="636"/>
      <c r="L20" s="635"/>
      <c r="M20" s="636"/>
      <c r="N20" s="635">
        <v>-1</v>
      </c>
      <c r="O20" s="636"/>
      <c r="P20" s="638"/>
      <c r="Q20" s="639"/>
      <c r="R20" s="638">
        <v>3684</v>
      </c>
      <c r="S20" s="639">
        <v>2307</v>
      </c>
      <c r="T20" s="638"/>
      <c r="U20" s="639"/>
      <c r="V20" s="638"/>
      <c r="W20" s="639"/>
      <c r="X20" s="638"/>
      <c r="Y20" s="639"/>
      <c r="Z20" s="638"/>
      <c r="AA20" s="639"/>
      <c r="AB20" s="635"/>
      <c r="AC20" s="636"/>
      <c r="AD20" s="635">
        <v>416</v>
      </c>
      <c r="AE20" s="636">
        <v>144</v>
      </c>
      <c r="AF20" s="635"/>
      <c r="AG20" s="636"/>
      <c r="AH20" s="635">
        <v>-1</v>
      </c>
      <c r="AI20" s="636"/>
      <c r="AJ20" s="635"/>
      <c r="AK20" s="640"/>
      <c r="AL20" s="736"/>
      <c r="AM20" s="641"/>
      <c r="AN20" s="642"/>
      <c r="AO20" s="643"/>
      <c r="AP20" s="644"/>
      <c r="AQ20" s="645"/>
      <c r="AR20" s="646"/>
      <c r="AS20" s="647"/>
      <c r="AT20" s="635"/>
      <c r="AU20" s="636"/>
      <c r="AV20" s="638">
        <f t="shared" si="0"/>
        <v>4098</v>
      </c>
      <c r="AW20" s="639">
        <f t="shared" si="1"/>
        <v>2451</v>
      </c>
      <c r="AX20" s="646"/>
      <c r="AY20" s="647"/>
      <c r="AZ20" s="637">
        <f t="shared" si="2"/>
        <v>4098</v>
      </c>
      <c r="BA20" s="648">
        <f t="shared" si="3"/>
        <v>2451</v>
      </c>
    </row>
    <row r="21" spans="1:53" s="378" customFormat="1" ht="15" thickBot="1" x14ac:dyDescent="0.35">
      <c r="A21" s="1000" t="s">
        <v>12</v>
      </c>
      <c r="B21" s="564">
        <f t="shared" ref="B21:AG21" si="5">B19+B20</f>
        <v>257556</v>
      </c>
      <c r="C21" s="569">
        <f t="shared" si="5"/>
        <v>225498</v>
      </c>
      <c r="D21" s="564">
        <f t="shared" si="5"/>
        <v>19175</v>
      </c>
      <c r="E21" s="564">
        <f t="shared" si="5"/>
        <v>9330</v>
      </c>
      <c r="F21" s="564">
        <f t="shared" si="5"/>
        <v>21901</v>
      </c>
      <c r="G21" s="564">
        <f t="shared" si="5"/>
        <v>24805</v>
      </c>
      <c r="H21" s="564">
        <f t="shared" si="5"/>
        <v>427003</v>
      </c>
      <c r="I21" s="564">
        <f t="shared" si="5"/>
        <v>474974</v>
      </c>
      <c r="J21" s="564">
        <f t="shared" si="5"/>
        <v>116831</v>
      </c>
      <c r="K21" s="564">
        <f t="shared" si="5"/>
        <v>121883</v>
      </c>
      <c r="L21" s="564">
        <f t="shared" si="5"/>
        <v>179712</v>
      </c>
      <c r="M21" s="564">
        <f t="shared" si="5"/>
        <v>178126</v>
      </c>
      <c r="N21" s="564">
        <f t="shared" si="5"/>
        <v>13911.3</v>
      </c>
      <c r="O21" s="564">
        <f t="shared" si="5"/>
        <v>28847</v>
      </c>
      <c r="P21" s="564">
        <f t="shared" si="5"/>
        <v>80131</v>
      </c>
      <c r="Q21" s="564">
        <f t="shared" si="5"/>
        <v>28294</v>
      </c>
      <c r="R21" s="564">
        <f t="shared" si="5"/>
        <v>148643</v>
      </c>
      <c r="S21" s="564">
        <f t="shared" si="5"/>
        <v>127797</v>
      </c>
      <c r="T21" s="564">
        <f t="shared" si="5"/>
        <v>53249</v>
      </c>
      <c r="U21" s="564">
        <f t="shared" si="5"/>
        <v>39065</v>
      </c>
      <c r="V21" s="564">
        <f t="shared" si="5"/>
        <v>982007</v>
      </c>
      <c r="W21" s="564">
        <f t="shared" si="5"/>
        <v>915102</v>
      </c>
      <c r="X21" s="564">
        <f t="shared" si="5"/>
        <v>661511</v>
      </c>
      <c r="Y21" s="564">
        <f t="shared" si="5"/>
        <v>652285</v>
      </c>
      <c r="Z21" s="564">
        <f t="shared" si="5"/>
        <v>41870</v>
      </c>
      <c r="AA21" s="564">
        <f t="shared" si="5"/>
        <v>44350</v>
      </c>
      <c r="AB21" s="564">
        <f t="shared" si="5"/>
        <v>197564</v>
      </c>
      <c r="AC21" s="564">
        <f t="shared" si="5"/>
        <v>265471</v>
      </c>
      <c r="AD21" s="564">
        <f t="shared" si="5"/>
        <v>340319</v>
      </c>
      <c r="AE21" s="564">
        <f t="shared" si="5"/>
        <v>339384</v>
      </c>
      <c r="AF21" s="564">
        <f t="shared" si="5"/>
        <v>644627</v>
      </c>
      <c r="AG21" s="564">
        <f t="shared" si="5"/>
        <v>613999</v>
      </c>
      <c r="AH21" s="564">
        <f t="shared" ref="AH21:AU21" si="6">AH19+AH20</f>
        <v>247653</v>
      </c>
      <c r="AI21" s="564">
        <f t="shared" si="6"/>
        <v>257315</v>
      </c>
      <c r="AJ21" s="564">
        <f t="shared" si="6"/>
        <v>190424</v>
      </c>
      <c r="AK21" s="565">
        <f t="shared" si="6"/>
        <v>155763</v>
      </c>
      <c r="AL21" s="564">
        <f t="shared" si="6"/>
        <v>0</v>
      </c>
      <c r="AM21" s="567">
        <f t="shared" si="6"/>
        <v>0</v>
      </c>
      <c r="AN21" s="566">
        <f t="shared" si="6"/>
        <v>1656377</v>
      </c>
      <c r="AO21" s="567">
        <f t="shared" si="6"/>
        <v>1922920</v>
      </c>
      <c r="AP21" s="564">
        <f t="shared" si="6"/>
        <v>294971</v>
      </c>
      <c r="AQ21" s="564">
        <f t="shared" si="6"/>
        <v>271533</v>
      </c>
      <c r="AR21" s="564">
        <f t="shared" si="6"/>
        <v>99547</v>
      </c>
      <c r="AS21" s="564">
        <f t="shared" si="6"/>
        <v>128804</v>
      </c>
      <c r="AT21" s="564">
        <f t="shared" si="6"/>
        <v>460270</v>
      </c>
      <c r="AU21" s="569">
        <f t="shared" si="6"/>
        <v>531521</v>
      </c>
      <c r="AV21" s="570">
        <f t="shared" si="0"/>
        <v>7135252.2999999998</v>
      </c>
      <c r="AW21" s="571">
        <f t="shared" si="1"/>
        <v>7357066</v>
      </c>
      <c r="AX21" s="574">
        <f>AX19+AX20</f>
        <v>20975439</v>
      </c>
      <c r="AY21" s="575">
        <f>AY19+AY20</f>
        <v>21718695</v>
      </c>
      <c r="AZ21" s="574">
        <f t="shared" si="2"/>
        <v>28110691.300000001</v>
      </c>
      <c r="BA21" s="575">
        <f t="shared" si="3"/>
        <v>29075761</v>
      </c>
    </row>
  </sheetData>
  <mergeCells count="29">
    <mergeCell ref="A1:AY1"/>
    <mergeCell ref="A2:AY2"/>
    <mergeCell ref="A3:A4"/>
    <mergeCell ref="L3:M3"/>
    <mergeCell ref="T3:U3"/>
    <mergeCell ref="J3:K3"/>
    <mergeCell ref="P3:Q3"/>
    <mergeCell ref="AT3:AU3"/>
    <mergeCell ref="R3:S3"/>
    <mergeCell ref="AB3:AC3"/>
    <mergeCell ref="AH3:AI3"/>
    <mergeCell ref="B3:C3"/>
    <mergeCell ref="D3:E3"/>
    <mergeCell ref="F3:G3"/>
    <mergeCell ref="H3:I3"/>
    <mergeCell ref="AF3:AG3"/>
    <mergeCell ref="AZ3:BA3"/>
    <mergeCell ref="AJ3:AK3"/>
    <mergeCell ref="AL3:AM3"/>
    <mergeCell ref="AN3:AO3"/>
    <mergeCell ref="AP3:AQ3"/>
    <mergeCell ref="AR3:AS3"/>
    <mergeCell ref="AV3:AW3"/>
    <mergeCell ref="AX3:AY3"/>
    <mergeCell ref="AD3:AE3"/>
    <mergeCell ref="V3:W3"/>
    <mergeCell ref="N3:O3"/>
    <mergeCell ref="X3:Y3"/>
    <mergeCell ref="Z3:AA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BA44"/>
  <sheetViews>
    <sheetView workbookViewId="0">
      <pane xSplit="1" topLeftCell="B1" activePane="topRight" state="frozen"/>
      <selection pane="topRight" activeCell="A2" sqref="A2:AY2"/>
    </sheetView>
  </sheetViews>
  <sheetFormatPr defaultRowHeight="14.25" x14ac:dyDescent="0.3"/>
  <cols>
    <col min="1" max="1" width="24.5703125" style="33" customWidth="1"/>
    <col min="2" max="39" width="12.85546875" style="33" bestFit="1" customWidth="1"/>
    <col min="40" max="41" width="12.85546875" style="202" bestFit="1" customWidth="1"/>
    <col min="42" max="53" width="12.85546875" style="33" bestFit="1" customWidth="1"/>
    <col min="54" max="16384" width="9.140625" style="33"/>
  </cols>
  <sheetData>
    <row r="1" spans="1:53" x14ac:dyDescent="0.3">
      <c r="A1" s="1314" t="s">
        <v>152</v>
      </c>
      <c r="B1" s="1314"/>
      <c r="C1" s="1314"/>
      <c r="D1" s="1314"/>
      <c r="E1" s="1314"/>
      <c r="F1" s="1314"/>
      <c r="G1" s="1314"/>
      <c r="H1" s="1314"/>
      <c r="I1" s="1314"/>
      <c r="J1" s="1314"/>
      <c r="K1" s="1314"/>
      <c r="L1" s="1314"/>
      <c r="M1" s="1314"/>
      <c r="N1" s="1314"/>
      <c r="O1" s="1314"/>
      <c r="P1" s="1314"/>
      <c r="Q1" s="1314"/>
      <c r="R1" s="1314"/>
      <c r="S1" s="1314"/>
      <c r="T1" s="1314"/>
      <c r="U1" s="1314"/>
      <c r="V1" s="1314"/>
      <c r="W1" s="1314"/>
      <c r="X1" s="1314"/>
      <c r="Y1" s="1314"/>
      <c r="Z1" s="1314"/>
      <c r="AA1" s="1314"/>
      <c r="AB1" s="1314"/>
      <c r="AC1" s="1314"/>
      <c r="AD1" s="1314"/>
      <c r="AE1" s="1314"/>
      <c r="AF1" s="1314"/>
      <c r="AG1" s="1314"/>
      <c r="AH1" s="1314"/>
      <c r="AI1" s="1314"/>
      <c r="AJ1" s="1314"/>
      <c r="AK1" s="1314"/>
      <c r="AL1" s="1314"/>
      <c r="AM1" s="1314"/>
      <c r="AN1" s="1314"/>
      <c r="AO1" s="1314"/>
      <c r="AP1" s="1314"/>
      <c r="AQ1" s="1314"/>
      <c r="AR1" s="1314"/>
      <c r="AS1" s="1314"/>
      <c r="AT1" s="1314"/>
      <c r="AU1" s="1314"/>
      <c r="AV1" s="1314"/>
      <c r="AW1" s="1314"/>
      <c r="AX1" s="1314"/>
      <c r="AY1" s="1314"/>
    </row>
    <row r="2" spans="1:53" ht="16.5" thickBot="1" x14ac:dyDescent="0.4">
      <c r="A2" s="1315" t="s">
        <v>442</v>
      </c>
      <c r="B2" s="1315"/>
      <c r="C2" s="1315"/>
      <c r="D2" s="1315"/>
      <c r="E2" s="1315"/>
      <c r="F2" s="1315"/>
      <c r="G2" s="1315"/>
      <c r="H2" s="1315"/>
      <c r="I2" s="1315"/>
      <c r="J2" s="1315"/>
      <c r="K2" s="1315"/>
      <c r="L2" s="1315"/>
      <c r="M2" s="1315"/>
      <c r="N2" s="1315"/>
      <c r="O2" s="1315"/>
      <c r="P2" s="1315"/>
      <c r="Q2" s="1315"/>
      <c r="R2" s="1315"/>
      <c r="S2" s="1315"/>
      <c r="T2" s="1315"/>
      <c r="U2" s="1315"/>
      <c r="V2" s="1315"/>
      <c r="W2" s="1315"/>
      <c r="X2" s="1315"/>
      <c r="Y2" s="1315"/>
      <c r="Z2" s="1315"/>
      <c r="AA2" s="1315"/>
      <c r="AB2" s="1315"/>
      <c r="AC2" s="1315"/>
      <c r="AD2" s="1315"/>
      <c r="AE2" s="1315"/>
      <c r="AF2" s="1315"/>
      <c r="AG2" s="1315"/>
      <c r="AH2" s="1315"/>
      <c r="AI2" s="1315"/>
      <c r="AJ2" s="1315"/>
      <c r="AK2" s="1315"/>
      <c r="AL2" s="1315"/>
      <c r="AM2" s="1315"/>
      <c r="AN2" s="1315"/>
      <c r="AO2" s="1315"/>
      <c r="AP2" s="1315"/>
      <c r="AQ2" s="1315"/>
      <c r="AR2" s="1315"/>
      <c r="AS2" s="1315"/>
      <c r="AT2" s="1315"/>
      <c r="AU2" s="1315"/>
      <c r="AV2" s="1315"/>
      <c r="AW2" s="1315"/>
      <c r="AX2" s="1315"/>
      <c r="AY2" s="1315"/>
    </row>
    <row r="3" spans="1:53" s="693" customFormat="1" ht="38.25" customHeight="1" thickBot="1" x14ac:dyDescent="0.3">
      <c r="A3" s="1316" t="s">
        <v>0</v>
      </c>
      <c r="B3" s="1318" t="s">
        <v>158</v>
      </c>
      <c r="C3" s="1319"/>
      <c r="D3" s="1318" t="s">
        <v>159</v>
      </c>
      <c r="E3" s="1319"/>
      <c r="F3" s="1312" t="s">
        <v>160</v>
      </c>
      <c r="G3" s="1313"/>
      <c r="H3" s="1312" t="s">
        <v>161</v>
      </c>
      <c r="I3" s="1313"/>
      <c r="J3" s="1312" t="s">
        <v>162</v>
      </c>
      <c r="K3" s="1313"/>
      <c r="L3" s="1312" t="s">
        <v>163</v>
      </c>
      <c r="M3" s="1313"/>
      <c r="N3" s="1312" t="s">
        <v>312</v>
      </c>
      <c r="O3" s="1313"/>
      <c r="P3" s="1312" t="s">
        <v>164</v>
      </c>
      <c r="Q3" s="1313"/>
      <c r="R3" s="1312" t="s">
        <v>165</v>
      </c>
      <c r="S3" s="1313"/>
      <c r="T3" s="1312" t="s">
        <v>166</v>
      </c>
      <c r="U3" s="1313"/>
      <c r="V3" s="1312" t="s">
        <v>167</v>
      </c>
      <c r="W3" s="1313"/>
      <c r="X3" s="1312" t="s">
        <v>168</v>
      </c>
      <c r="Y3" s="1313"/>
      <c r="Z3" s="1312" t="s">
        <v>385</v>
      </c>
      <c r="AA3" s="1313"/>
      <c r="AB3" s="1312" t="s">
        <v>169</v>
      </c>
      <c r="AC3" s="1313"/>
      <c r="AD3" s="1310" t="s">
        <v>170</v>
      </c>
      <c r="AE3" s="1311"/>
      <c r="AF3" s="1312" t="s">
        <v>171</v>
      </c>
      <c r="AG3" s="1313"/>
      <c r="AH3" s="1312" t="s">
        <v>172</v>
      </c>
      <c r="AI3" s="1313"/>
      <c r="AJ3" s="1312" t="s">
        <v>173</v>
      </c>
      <c r="AK3" s="1313"/>
      <c r="AL3" s="1310" t="s">
        <v>174</v>
      </c>
      <c r="AM3" s="1311"/>
      <c r="AN3" s="1310" t="s">
        <v>175</v>
      </c>
      <c r="AO3" s="1311"/>
      <c r="AP3" s="1312" t="s">
        <v>176</v>
      </c>
      <c r="AQ3" s="1313"/>
      <c r="AR3" s="1312" t="s">
        <v>177</v>
      </c>
      <c r="AS3" s="1313"/>
      <c r="AT3" s="1312" t="s">
        <v>178</v>
      </c>
      <c r="AU3" s="1313"/>
      <c r="AV3" s="1312" t="s">
        <v>1</v>
      </c>
      <c r="AW3" s="1313"/>
      <c r="AX3" s="1310" t="s">
        <v>179</v>
      </c>
      <c r="AY3" s="1311"/>
      <c r="AZ3" s="1310" t="s">
        <v>2</v>
      </c>
      <c r="BA3" s="1311"/>
    </row>
    <row r="4" spans="1:53" s="430" customFormat="1" ht="15" customHeight="1" thickBot="1" x14ac:dyDescent="0.35">
      <c r="A4" s="1317"/>
      <c r="B4" s="441" t="s">
        <v>380</v>
      </c>
      <c r="C4" s="442" t="s">
        <v>423</v>
      </c>
      <c r="D4" s="441" t="s">
        <v>380</v>
      </c>
      <c r="E4" s="442" t="s">
        <v>423</v>
      </c>
      <c r="F4" s="441" t="s">
        <v>380</v>
      </c>
      <c r="G4" s="442" t="s">
        <v>423</v>
      </c>
      <c r="H4" s="441" t="s">
        <v>380</v>
      </c>
      <c r="I4" s="442" t="s">
        <v>423</v>
      </c>
      <c r="J4" s="441" t="s">
        <v>380</v>
      </c>
      <c r="K4" s="442" t="s">
        <v>423</v>
      </c>
      <c r="L4" s="441" t="s">
        <v>380</v>
      </c>
      <c r="M4" s="442" t="s">
        <v>423</v>
      </c>
      <c r="N4" s="441" t="s">
        <v>380</v>
      </c>
      <c r="O4" s="442" t="s">
        <v>423</v>
      </c>
      <c r="P4" s="441" t="s">
        <v>380</v>
      </c>
      <c r="Q4" s="442" t="s">
        <v>423</v>
      </c>
      <c r="R4" s="441" t="s">
        <v>380</v>
      </c>
      <c r="S4" s="442" t="s">
        <v>423</v>
      </c>
      <c r="T4" s="441" t="s">
        <v>380</v>
      </c>
      <c r="U4" s="442" t="s">
        <v>423</v>
      </c>
      <c r="V4" s="441" t="s">
        <v>380</v>
      </c>
      <c r="W4" s="442" t="s">
        <v>423</v>
      </c>
      <c r="X4" s="441" t="s">
        <v>380</v>
      </c>
      <c r="Y4" s="442" t="s">
        <v>423</v>
      </c>
      <c r="Z4" s="441" t="s">
        <v>380</v>
      </c>
      <c r="AA4" s="442" t="s">
        <v>423</v>
      </c>
      <c r="AB4" s="441" t="s">
        <v>380</v>
      </c>
      <c r="AC4" s="442" t="s">
        <v>423</v>
      </c>
      <c r="AD4" s="441" t="s">
        <v>380</v>
      </c>
      <c r="AE4" s="442" t="s">
        <v>423</v>
      </c>
      <c r="AF4" s="441" t="s">
        <v>380</v>
      </c>
      <c r="AG4" s="442" t="s">
        <v>423</v>
      </c>
      <c r="AH4" s="441" t="s">
        <v>380</v>
      </c>
      <c r="AI4" s="442" t="s">
        <v>423</v>
      </c>
      <c r="AJ4" s="441" t="s">
        <v>380</v>
      </c>
      <c r="AK4" s="442" t="s">
        <v>423</v>
      </c>
      <c r="AL4" s="441" t="s">
        <v>380</v>
      </c>
      <c r="AM4" s="442" t="s">
        <v>423</v>
      </c>
      <c r="AN4" s="441" t="s">
        <v>380</v>
      </c>
      <c r="AO4" s="442" t="s">
        <v>423</v>
      </c>
      <c r="AP4" s="441" t="s">
        <v>380</v>
      </c>
      <c r="AQ4" s="442" t="s">
        <v>423</v>
      </c>
      <c r="AR4" s="441" t="s">
        <v>380</v>
      </c>
      <c r="AS4" s="442" t="s">
        <v>423</v>
      </c>
      <c r="AT4" s="441" t="s">
        <v>380</v>
      </c>
      <c r="AU4" s="442" t="s">
        <v>423</v>
      </c>
      <c r="AV4" s="441" t="s">
        <v>380</v>
      </c>
      <c r="AW4" s="442" t="s">
        <v>423</v>
      </c>
      <c r="AX4" s="441" t="s">
        <v>380</v>
      </c>
      <c r="AY4" s="442" t="s">
        <v>423</v>
      </c>
      <c r="AZ4" s="441" t="s">
        <v>380</v>
      </c>
      <c r="BA4" s="442" t="s">
        <v>423</v>
      </c>
    </row>
    <row r="5" spans="1:53" ht="28.5" x14ac:dyDescent="0.3">
      <c r="A5" s="1094" t="s">
        <v>119</v>
      </c>
      <c r="B5" s="439">
        <v>12940.61</v>
      </c>
      <c r="C5" s="436">
        <v>7555</v>
      </c>
      <c r="D5" s="434">
        <v>299.17</v>
      </c>
      <c r="E5" s="436">
        <v>302</v>
      </c>
      <c r="F5" s="435">
        <v>1746.29</v>
      </c>
      <c r="G5" s="436">
        <v>2355</v>
      </c>
      <c r="H5" s="435">
        <v>54462.1</v>
      </c>
      <c r="I5" s="436">
        <v>77532</v>
      </c>
      <c r="J5" s="435">
        <v>5482</v>
      </c>
      <c r="K5" s="436">
        <v>1469</v>
      </c>
      <c r="L5" s="435">
        <v>17379.75</v>
      </c>
      <c r="M5" s="436">
        <f>16103+441+136+53+866+170</f>
        <v>17769</v>
      </c>
      <c r="N5" s="435">
        <v>15989.81</v>
      </c>
      <c r="O5" s="436">
        <v>7262</v>
      </c>
      <c r="P5" s="435">
        <v>213.8</v>
      </c>
      <c r="Q5" s="436">
        <v>658</v>
      </c>
      <c r="R5" s="435">
        <v>6769.65</v>
      </c>
      <c r="S5" s="436">
        <v>12598</v>
      </c>
      <c r="T5" s="435">
        <v>3443.86</v>
      </c>
      <c r="U5" s="436">
        <v>1034</v>
      </c>
      <c r="V5" s="435">
        <v>99089.68</v>
      </c>
      <c r="W5" s="436">
        <v>100934</v>
      </c>
      <c r="X5" s="434">
        <v>198485.96</v>
      </c>
      <c r="Y5" s="436">
        <v>216022</v>
      </c>
      <c r="Z5" s="435">
        <v>9700.3700000000008</v>
      </c>
      <c r="AA5" s="436">
        <v>5881</v>
      </c>
      <c r="AB5" s="435">
        <v>14678.16</v>
      </c>
      <c r="AC5" s="436">
        <v>16084</v>
      </c>
      <c r="AD5" s="435">
        <v>50493.5</v>
      </c>
      <c r="AE5" s="436">
        <v>25188</v>
      </c>
      <c r="AF5" s="435">
        <v>38617.129999999997</v>
      </c>
      <c r="AG5" s="436">
        <v>27802</v>
      </c>
      <c r="AH5" s="435">
        <v>6673</v>
      </c>
      <c r="AI5" s="436">
        <v>5323</v>
      </c>
      <c r="AJ5" s="435">
        <v>23752.799999999999</v>
      </c>
      <c r="AK5" s="436">
        <v>18236</v>
      </c>
      <c r="AL5" s="435"/>
      <c r="AM5" s="436"/>
      <c r="AN5" s="437">
        <v>167876.22</v>
      </c>
      <c r="AO5" s="438">
        <v>173243</v>
      </c>
      <c r="AP5" s="435">
        <v>7960.4</v>
      </c>
      <c r="AQ5" s="436">
        <v>2257</v>
      </c>
      <c r="AR5" s="435">
        <v>15931.73</v>
      </c>
      <c r="AS5" s="436">
        <v>25948</v>
      </c>
      <c r="AT5" s="435">
        <v>10246.98</v>
      </c>
      <c r="AU5" s="436">
        <v>55993</v>
      </c>
      <c r="AV5" s="439">
        <f t="shared" ref="AV5:AV24" si="0">SUM(B5+D5+F5+H5+J5+L5+N5+P5+R5+T5+V5+X5+Z5+AB5+AD5+AF5+AH5+AJ5+AL5+AN5+AP5+AR5+AT5)</f>
        <v>762232.96999999986</v>
      </c>
      <c r="AW5" s="440">
        <f t="shared" ref="AW5:AW24" si="1">SUM(C5+E5+G5+I5+K5+M5+O5+Q5+S5+U5+W5+Y5+AA5+AC5+AE5+AG5+AI5+AK5+AM5+AO5+AQ5+AS5+AU5)</f>
        <v>801445</v>
      </c>
      <c r="AX5" s="435">
        <v>288901.01</v>
      </c>
      <c r="AY5" s="436">
        <v>387541</v>
      </c>
      <c r="AZ5" s="439">
        <f t="shared" ref="AZ5:AZ24" si="2">AV5+AX5</f>
        <v>1051133.98</v>
      </c>
      <c r="BA5" s="440">
        <f t="shared" ref="BA5:BA24" si="3">AW5+AY5</f>
        <v>1188986</v>
      </c>
    </row>
    <row r="6" spans="1:53" x14ac:dyDescent="0.3">
      <c r="A6" s="1095" t="s">
        <v>120</v>
      </c>
      <c r="B6" s="1002"/>
      <c r="C6" s="54"/>
      <c r="D6" s="18"/>
      <c r="E6" s="19"/>
      <c r="F6" s="16"/>
      <c r="G6" s="19"/>
      <c r="H6" s="16"/>
      <c r="I6" s="19"/>
      <c r="J6" s="16"/>
      <c r="K6" s="19"/>
      <c r="L6" s="16"/>
      <c r="M6" s="19"/>
      <c r="N6" s="16"/>
      <c r="O6" s="19"/>
      <c r="P6" s="16"/>
      <c r="Q6" s="19"/>
      <c r="R6" s="16"/>
      <c r="S6" s="19"/>
      <c r="T6" s="16"/>
      <c r="U6" s="19"/>
      <c r="V6" s="16"/>
      <c r="W6" s="19"/>
      <c r="X6" s="18"/>
      <c r="Y6" s="19"/>
      <c r="Z6" s="20"/>
      <c r="AA6" s="21"/>
      <c r="AB6" s="16"/>
      <c r="AC6" s="19"/>
      <c r="AD6" s="16"/>
      <c r="AE6" s="19"/>
      <c r="AF6" s="16"/>
      <c r="AG6" s="19"/>
      <c r="AH6" s="16"/>
      <c r="AI6" s="19"/>
      <c r="AJ6" s="16"/>
      <c r="AK6" s="19"/>
      <c r="AL6" s="16"/>
      <c r="AM6" s="19"/>
      <c r="AN6" s="252"/>
      <c r="AO6" s="256"/>
      <c r="AP6" s="22"/>
      <c r="AQ6" s="23"/>
      <c r="AR6" s="24"/>
      <c r="AS6" s="25"/>
      <c r="AT6" s="16"/>
      <c r="AU6" s="19"/>
      <c r="AV6" s="11">
        <f t="shared" si="0"/>
        <v>0</v>
      </c>
      <c r="AW6" s="280">
        <f t="shared" si="1"/>
        <v>0</v>
      </c>
      <c r="AX6" s="24"/>
      <c r="AY6" s="25"/>
      <c r="AZ6" s="11">
        <f t="shared" si="2"/>
        <v>0</v>
      </c>
      <c r="BA6" s="280">
        <f t="shared" si="3"/>
        <v>0</v>
      </c>
    </row>
    <row r="7" spans="1:53" ht="28.5" x14ac:dyDescent="0.3">
      <c r="A7" s="1095" t="s">
        <v>121</v>
      </c>
      <c r="B7" s="1002">
        <v>17855</v>
      </c>
      <c r="C7" s="54">
        <v>19285</v>
      </c>
      <c r="D7" s="18">
        <v>398.02</v>
      </c>
      <c r="E7" s="19">
        <v>122</v>
      </c>
      <c r="F7" s="16">
        <v>4430.29</v>
      </c>
      <c r="G7" s="19">
        <v>4027</v>
      </c>
      <c r="H7" s="16">
        <v>50441.23</v>
      </c>
      <c r="I7" s="19">
        <v>54911</v>
      </c>
      <c r="J7" s="16">
        <v>2910</v>
      </c>
      <c r="K7" s="19">
        <v>3787</v>
      </c>
      <c r="L7" s="16">
        <v>8242.2800000000007</v>
      </c>
      <c r="M7" s="19">
        <v>7689</v>
      </c>
      <c r="N7" s="16">
        <v>1535.39</v>
      </c>
      <c r="O7" s="19">
        <v>4677</v>
      </c>
      <c r="P7" s="16">
        <v>2436.2600000000002</v>
      </c>
      <c r="Q7" s="19">
        <v>2066</v>
      </c>
      <c r="R7" s="16">
        <v>7248.86</v>
      </c>
      <c r="S7" s="19">
        <v>8136</v>
      </c>
      <c r="T7" s="16">
        <v>414</v>
      </c>
      <c r="U7" s="19">
        <v>825</v>
      </c>
      <c r="V7" s="16">
        <v>43820.11</v>
      </c>
      <c r="W7" s="19">
        <v>47876</v>
      </c>
      <c r="X7" s="18">
        <v>48351.34</v>
      </c>
      <c r="Y7" s="19">
        <v>50678</v>
      </c>
      <c r="Z7" s="20">
        <v>4356.1499999999996</v>
      </c>
      <c r="AA7" s="21">
        <v>4839</v>
      </c>
      <c r="AB7" s="16">
        <v>5095.5600000000004</v>
      </c>
      <c r="AC7" s="19">
        <v>4474</v>
      </c>
      <c r="AD7" s="16">
        <v>24591</v>
      </c>
      <c r="AE7" s="19">
        <v>27163</v>
      </c>
      <c r="AF7" s="16">
        <v>20632</v>
      </c>
      <c r="AG7" s="19">
        <v>22539</v>
      </c>
      <c r="AH7" s="16">
        <v>10146</v>
      </c>
      <c r="AI7" s="19">
        <v>10214</v>
      </c>
      <c r="AJ7" s="16">
        <v>8271.81</v>
      </c>
      <c r="AK7" s="19">
        <v>8809</v>
      </c>
      <c r="AL7" s="16"/>
      <c r="AM7" s="19"/>
      <c r="AN7" s="253">
        <v>52110.67</v>
      </c>
      <c r="AO7" s="257">
        <v>61169</v>
      </c>
      <c r="AP7" s="22">
        <v>3153.91</v>
      </c>
      <c r="AQ7" s="23">
        <v>3993</v>
      </c>
      <c r="AR7" s="24">
        <v>3903.16</v>
      </c>
      <c r="AS7" s="25">
        <v>4390</v>
      </c>
      <c r="AT7" s="16">
        <v>13344.97</v>
      </c>
      <c r="AU7" s="19">
        <v>14012</v>
      </c>
      <c r="AV7" s="11">
        <f t="shared" si="0"/>
        <v>333688.00999999989</v>
      </c>
      <c r="AW7" s="280">
        <f t="shared" si="1"/>
        <v>365681</v>
      </c>
      <c r="AX7" s="24">
        <v>1777.65</v>
      </c>
      <c r="AY7" s="25">
        <v>16095</v>
      </c>
      <c r="AZ7" s="11">
        <f t="shared" si="2"/>
        <v>335465.65999999992</v>
      </c>
      <c r="BA7" s="280">
        <f t="shared" si="3"/>
        <v>381776</v>
      </c>
    </row>
    <row r="8" spans="1:53" ht="28.5" x14ac:dyDescent="0.3">
      <c r="A8" s="1095" t="s">
        <v>122</v>
      </c>
      <c r="B8" s="1002">
        <v>299.45999999999998</v>
      </c>
      <c r="C8" s="54">
        <v>883</v>
      </c>
      <c r="D8" s="18">
        <v>129.83000000000001</v>
      </c>
      <c r="E8" s="19">
        <v>69</v>
      </c>
      <c r="F8" s="16">
        <v>857.33</v>
      </c>
      <c r="G8" s="19">
        <v>340</v>
      </c>
      <c r="H8" s="16">
        <v>39768.559999999998</v>
      </c>
      <c r="I8" s="19">
        <v>32519</v>
      </c>
      <c r="J8" s="16">
        <v>1450.39</v>
      </c>
      <c r="K8" s="19">
        <v>1695</v>
      </c>
      <c r="L8" s="16">
        <v>3373.59</v>
      </c>
      <c r="M8" s="19">
        <v>1269</v>
      </c>
      <c r="N8" s="16">
        <v>1444.85</v>
      </c>
      <c r="O8" s="19">
        <v>849</v>
      </c>
      <c r="P8" s="16">
        <v>1033.98</v>
      </c>
      <c r="Q8" s="19">
        <v>1349</v>
      </c>
      <c r="R8" s="16">
        <v>2088.8000000000002</v>
      </c>
      <c r="S8" s="19">
        <v>666</v>
      </c>
      <c r="T8" s="16">
        <v>342</v>
      </c>
      <c r="U8" s="19">
        <v>514</v>
      </c>
      <c r="V8" s="16">
        <v>20954.099999999999</v>
      </c>
      <c r="W8" s="19">
        <v>32255</v>
      </c>
      <c r="X8" s="18">
        <v>41384.28</v>
      </c>
      <c r="Y8" s="19">
        <v>52620</v>
      </c>
      <c r="Z8" s="20">
        <v>286.08999999999997</v>
      </c>
      <c r="AA8" s="21">
        <v>260</v>
      </c>
      <c r="AB8" s="16">
        <v>262.52</v>
      </c>
      <c r="AC8" s="19">
        <v>392</v>
      </c>
      <c r="AD8" s="16">
        <v>252.5</v>
      </c>
      <c r="AE8" s="19"/>
      <c r="AF8" s="16">
        <v>2278.12</v>
      </c>
      <c r="AG8" s="19">
        <v>9498</v>
      </c>
      <c r="AH8" s="16">
        <v>2321</v>
      </c>
      <c r="AI8" s="19">
        <v>1823</v>
      </c>
      <c r="AJ8" s="16">
        <v>2649.78</v>
      </c>
      <c r="AK8" s="19">
        <v>2263</v>
      </c>
      <c r="AL8" s="16"/>
      <c r="AM8" s="19"/>
      <c r="AN8" s="253">
        <v>22672.33</v>
      </c>
      <c r="AO8" s="257">
        <v>40844</v>
      </c>
      <c r="AP8" s="22">
        <v>2050.44</v>
      </c>
      <c r="AQ8" s="23">
        <v>3631</v>
      </c>
      <c r="AR8" s="24">
        <v>1612.8</v>
      </c>
      <c r="AS8" s="25">
        <v>551</v>
      </c>
      <c r="AT8" s="16">
        <v>543.74</v>
      </c>
      <c r="AU8" s="19">
        <v>398</v>
      </c>
      <c r="AV8" s="11">
        <f t="shared" si="0"/>
        <v>148056.49</v>
      </c>
      <c r="AW8" s="280">
        <f t="shared" si="1"/>
        <v>184688</v>
      </c>
      <c r="AX8" s="24">
        <v>612.15</v>
      </c>
      <c r="AY8" s="25">
        <v>4166</v>
      </c>
      <c r="AZ8" s="11">
        <f t="shared" si="2"/>
        <v>148668.63999999998</v>
      </c>
      <c r="BA8" s="280">
        <f t="shared" si="3"/>
        <v>188854</v>
      </c>
    </row>
    <row r="9" spans="1:53" ht="28.5" x14ac:dyDescent="0.3">
      <c r="A9" s="1095" t="s">
        <v>123</v>
      </c>
      <c r="B9" s="1002">
        <v>-68.8</v>
      </c>
      <c r="C9" s="54">
        <v>-74</v>
      </c>
      <c r="D9" s="18">
        <v>-0.08</v>
      </c>
      <c r="E9" s="19"/>
      <c r="F9" s="16">
        <v>-494.91</v>
      </c>
      <c r="G9" s="19">
        <v>-91</v>
      </c>
      <c r="H9" s="16">
        <v>-11550.55</v>
      </c>
      <c r="I9" s="19">
        <v>-12755</v>
      </c>
      <c r="J9" s="16">
        <v>-847.94</v>
      </c>
      <c r="K9" s="19">
        <v>-547</v>
      </c>
      <c r="L9" s="16">
        <v>-5.71</v>
      </c>
      <c r="M9" s="19"/>
      <c r="N9" s="16">
        <v>-389.92</v>
      </c>
      <c r="O9" s="19">
        <v>-279</v>
      </c>
      <c r="P9" s="16">
        <v>-659.21</v>
      </c>
      <c r="Q9" s="19">
        <v>-955</v>
      </c>
      <c r="R9" s="16"/>
      <c r="S9" s="19"/>
      <c r="T9" s="16">
        <v>-30</v>
      </c>
      <c r="U9" s="19">
        <v>-15</v>
      </c>
      <c r="V9" s="16">
        <v>-17.29</v>
      </c>
      <c r="W9" s="19">
        <v>-1193</v>
      </c>
      <c r="X9" s="18">
        <v>-12186.21</v>
      </c>
      <c r="Y9" s="19">
        <v>-496</v>
      </c>
      <c r="Z9" s="20">
        <v>-60.58</v>
      </c>
      <c r="AA9" s="21">
        <v>-1</v>
      </c>
      <c r="AB9" s="16">
        <v>-55.86</v>
      </c>
      <c r="AC9" s="19">
        <v>-58</v>
      </c>
      <c r="AD9" s="16">
        <v>-11.75</v>
      </c>
      <c r="AE9" s="19">
        <v>-164</v>
      </c>
      <c r="AF9" s="16">
        <v>-156.27000000000001</v>
      </c>
      <c r="AG9" s="19">
        <v>-478</v>
      </c>
      <c r="AH9" s="16">
        <v>-92</v>
      </c>
      <c r="AI9" s="19"/>
      <c r="AJ9" s="16">
        <v>-889.43</v>
      </c>
      <c r="AK9" s="19">
        <v>-425</v>
      </c>
      <c r="AL9" s="16"/>
      <c r="AM9" s="19"/>
      <c r="AN9" s="253">
        <v>-5934.55</v>
      </c>
      <c r="AO9" s="257">
        <v>-1528</v>
      </c>
      <c r="AP9" s="22">
        <v>-1434.96</v>
      </c>
      <c r="AQ9" s="23">
        <v>-307</v>
      </c>
      <c r="AR9" s="24">
        <v>-87.99</v>
      </c>
      <c r="AS9" s="25">
        <v>-10</v>
      </c>
      <c r="AT9" s="16">
        <v>-33.78</v>
      </c>
      <c r="AU9" s="19">
        <v>-81</v>
      </c>
      <c r="AV9" s="11">
        <f t="shared" si="0"/>
        <v>-35007.79</v>
      </c>
      <c r="AW9" s="280">
        <f t="shared" si="1"/>
        <v>-19457</v>
      </c>
      <c r="AX9" s="24">
        <v>-91</v>
      </c>
      <c r="AY9" s="25">
        <v>-139</v>
      </c>
      <c r="AZ9" s="11">
        <f t="shared" si="2"/>
        <v>-35098.79</v>
      </c>
      <c r="BA9" s="280">
        <f t="shared" si="3"/>
        <v>-19596</v>
      </c>
    </row>
    <row r="10" spans="1:53" ht="42.75" x14ac:dyDescent="0.3">
      <c r="A10" s="1095" t="s">
        <v>124</v>
      </c>
      <c r="B10" s="11">
        <v>523</v>
      </c>
      <c r="C10" s="13">
        <v>1123</v>
      </c>
      <c r="D10" s="29">
        <v>108.06</v>
      </c>
      <c r="E10" s="30">
        <v>113</v>
      </c>
      <c r="F10" s="28"/>
      <c r="G10" s="30"/>
      <c r="H10" s="28">
        <v>-1380.82</v>
      </c>
      <c r="I10" s="30">
        <v>-1145</v>
      </c>
      <c r="J10" s="28">
        <v>-53</v>
      </c>
      <c r="K10" s="30">
        <v>-10</v>
      </c>
      <c r="L10" s="28"/>
      <c r="M10" s="30">
        <v>324</v>
      </c>
      <c r="N10" s="28">
        <v>-304.57</v>
      </c>
      <c r="O10" s="30">
        <v>-311</v>
      </c>
      <c r="P10" s="28"/>
      <c r="Q10" s="30"/>
      <c r="R10" s="28"/>
      <c r="S10" s="30">
        <v>-517</v>
      </c>
      <c r="T10" s="28">
        <v>-58</v>
      </c>
      <c r="U10" s="30"/>
      <c r="V10" s="28"/>
      <c r="W10" s="30"/>
      <c r="X10" s="29">
        <v>-458.55</v>
      </c>
      <c r="Y10" s="30">
        <v>-1368</v>
      </c>
      <c r="Z10" s="20">
        <v>366.37</v>
      </c>
      <c r="AA10" s="21">
        <v>236</v>
      </c>
      <c r="AB10" s="28">
        <v>-106.19</v>
      </c>
      <c r="AC10" s="30">
        <v>25</v>
      </c>
      <c r="AD10" s="31">
        <v>-255</v>
      </c>
      <c r="AE10" s="32">
        <v>-318</v>
      </c>
      <c r="AF10" s="28">
        <v>843</v>
      </c>
      <c r="AG10" s="30">
        <v>558</v>
      </c>
      <c r="AH10" s="28">
        <v>-253</v>
      </c>
      <c r="AI10" s="30">
        <v>116</v>
      </c>
      <c r="AJ10" s="28">
        <v>-277.19</v>
      </c>
      <c r="AK10" s="30">
        <v>-386</v>
      </c>
      <c r="AL10" s="16"/>
      <c r="AM10" s="19"/>
      <c r="AN10" s="253">
        <v>630.66999999999996</v>
      </c>
      <c r="AO10" s="257">
        <v>-2181</v>
      </c>
      <c r="AP10" s="22">
        <v>-79.290000000000006</v>
      </c>
      <c r="AQ10" s="23">
        <v>135</v>
      </c>
      <c r="AR10" s="24"/>
      <c r="AS10" s="25">
        <v>-31</v>
      </c>
      <c r="AT10" s="28">
        <v>1651.35</v>
      </c>
      <c r="AU10" s="30">
        <v>1786</v>
      </c>
      <c r="AV10" s="11">
        <f t="shared" si="0"/>
        <v>896.84</v>
      </c>
      <c r="AW10" s="280">
        <f t="shared" si="1"/>
        <v>-1851</v>
      </c>
      <c r="AX10" s="28"/>
      <c r="AY10" s="30"/>
      <c r="AZ10" s="11">
        <f t="shared" si="2"/>
        <v>896.84</v>
      </c>
      <c r="BA10" s="280">
        <f t="shared" si="3"/>
        <v>-1851</v>
      </c>
    </row>
    <row r="11" spans="1:53" x14ac:dyDescent="0.3">
      <c r="A11" s="1095" t="s">
        <v>125</v>
      </c>
      <c r="B11" s="1002"/>
      <c r="C11" s="54"/>
      <c r="D11" s="18"/>
      <c r="E11" s="19"/>
      <c r="F11" s="16"/>
      <c r="G11" s="19"/>
      <c r="H11" s="16"/>
      <c r="I11" s="19"/>
      <c r="J11" s="16">
        <v>200</v>
      </c>
      <c r="K11" s="19"/>
      <c r="L11" s="16"/>
      <c r="M11" s="19"/>
      <c r="N11" s="16"/>
      <c r="O11" s="19">
        <v>15</v>
      </c>
      <c r="P11" s="16">
        <v>56.79</v>
      </c>
      <c r="Q11" s="19"/>
      <c r="R11" s="16"/>
      <c r="S11" s="19"/>
      <c r="T11" s="16"/>
      <c r="U11" s="19"/>
      <c r="V11" s="16"/>
      <c r="W11" s="19"/>
      <c r="X11" s="18">
        <v>115.31</v>
      </c>
      <c r="Y11" s="19">
        <v>1177</v>
      </c>
      <c r="Z11" s="16">
        <f>0.82+111.92</f>
        <v>112.74</v>
      </c>
      <c r="AA11" s="19">
        <v>150</v>
      </c>
      <c r="AB11" s="16">
        <v>1284.25</v>
      </c>
      <c r="AC11" s="19">
        <v>694</v>
      </c>
      <c r="AD11" s="16"/>
      <c r="AE11" s="19"/>
      <c r="AF11" s="16">
        <v>1265</v>
      </c>
      <c r="AG11" s="19">
        <v>402</v>
      </c>
      <c r="AH11" s="16"/>
      <c r="AI11" s="19"/>
      <c r="AJ11" s="16"/>
      <c r="AK11" s="19"/>
      <c r="AL11" s="16"/>
      <c r="AM11" s="19"/>
      <c r="AN11" s="253"/>
      <c r="AO11" s="257">
        <v>536</v>
      </c>
      <c r="AP11" s="22">
        <v>61.23</v>
      </c>
      <c r="AQ11" s="23">
        <v>0.09</v>
      </c>
      <c r="AR11" s="24">
        <v>1.69</v>
      </c>
      <c r="AS11" s="25"/>
      <c r="AT11" s="16">
        <v>0.02</v>
      </c>
      <c r="AU11" s="19"/>
      <c r="AV11" s="11">
        <f t="shared" si="0"/>
        <v>3097.03</v>
      </c>
      <c r="AW11" s="280">
        <f t="shared" si="1"/>
        <v>2974.09</v>
      </c>
      <c r="AX11" s="24"/>
      <c r="AY11" s="25"/>
      <c r="AZ11" s="11">
        <f t="shared" si="2"/>
        <v>3097.03</v>
      </c>
      <c r="BA11" s="280">
        <f t="shared" si="3"/>
        <v>2974.09</v>
      </c>
    </row>
    <row r="12" spans="1:53" s="430" customFormat="1" x14ac:dyDescent="0.3">
      <c r="A12" s="1096" t="s">
        <v>293</v>
      </c>
      <c r="B12" s="1104">
        <f t="shared" ref="B12:AG12" si="4">SUM(B5:B11)</f>
        <v>31549.27</v>
      </c>
      <c r="C12" s="432">
        <f t="shared" si="4"/>
        <v>28772</v>
      </c>
      <c r="D12" s="433">
        <f t="shared" si="4"/>
        <v>935</v>
      </c>
      <c r="E12" s="432">
        <f t="shared" si="4"/>
        <v>606</v>
      </c>
      <c r="F12" s="431">
        <f t="shared" si="4"/>
        <v>6539</v>
      </c>
      <c r="G12" s="432">
        <f t="shared" si="4"/>
        <v>6631</v>
      </c>
      <c r="H12" s="431">
        <f t="shared" si="4"/>
        <v>131740.52000000002</v>
      </c>
      <c r="I12" s="432">
        <f t="shared" si="4"/>
        <v>151062</v>
      </c>
      <c r="J12" s="431">
        <f t="shared" si="4"/>
        <v>9141.4499999999989</v>
      </c>
      <c r="K12" s="432">
        <f t="shared" si="4"/>
        <v>6394</v>
      </c>
      <c r="L12" s="431">
        <f t="shared" si="4"/>
        <v>28989.91</v>
      </c>
      <c r="M12" s="432">
        <f t="shared" si="4"/>
        <v>27051</v>
      </c>
      <c r="N12" s="431">
        <f t="shared" si="4"/>
        <v>18275.560000000001</v>
      </c>
      <c r="O12" s="432">
        <f t="shared" si="4"/>
        <v>12213</v>
      </c>
      <c r="P12" s="431">
        <f t="shared" si="4"/>
        <v>3081.6200000000003</v>
      </c>
      <c r="Q12" s="432">
        <f t="shared" si="4"/>
        <v>3118</v>
      </c>
      <c r="R12" s="431">
        <f t="shared" si="4"/>
        <v>16107.309999999998</v>
      </c>
      <c r="S12" s="432">
        <f t="shared" si="4"/>
        <v>20883</v>
      </c>
      <c r="T12" s="431">
        <f t="shared" si="4"/>
        <v>4111.8600000000006</v>
      </c>
      <c r="U12" s="432">
        <f t="shared" si="4"/>
        <v>2358</v>
      </c>
      <c r="V12" s="431">
        <f t="shared" si="4"/>
        <v>163846.59999999998</v>
      </c>
      <c r="W12" s="432">
        <f t="shared" si="4"/>
        <v>179872</v>
      </c>
      <c r="X12" s="433">
        <f>SUM(X5:X11)</f>
        <v>275692.12999999995</v>
      </c>
      <c r="Y12" s="432">
        <f t="shared" si="4"/>
        <v>318633</v>
      </c>
      <c r="Z12" s="431">
        <f t="shared" si="4"/>
        <v>14761.140000000001</v>
      </c>
      <c r="AA12" s="432">
        <f t="shared" si="4"/>
        <v>11365</v>
      </c>
      <c r="AB12" s="431">
        <f t="shared" si="4"/>
        <v>21158.440000000002</v>
      </c>
      <c r="AC12" s="432">
        <f t="shared" si="4"/>
        <v>21611</v>
      </c>
      <c r="AD12" s="431">
        <f t="shared" si="4"/>
        <v>75070.25</v>
      </c>
      <c r="AE12" s="432">
        <f t="shared" si="4"/>
        <v>51869</v>
      </c>
      <c r="AF12" s="431">
        <f t="shared" si="4"/>
        <v>63478.98</v>
      </c>
      <c r="AG12" s="432">
        <f t="shared" si="4"/>
        <v>60321</v>
      </c>
      <c r="AH12" s="431">
        <f t="shared" ref="AH12:AY12" si="5">SUM(AH5:AH11)</f>
        <v>18795</v>
      </c>
      <c r="AI12" s="432">
        <f t="shared" si="5"/>
        <v>17476</v>
      </c>
      <c r="AJ12" s="431">
        <f t="shared" si="5"/>
        <v>33507.769999999997</v>
      </c>
      <c r="AK12" s="432">
        <f t="shared" si="5"/>
        <v>28497</v>
      </c>
      <c r="AL12" s="431">
        <f t="shared" si="5"/>
        <v>0</v>
      </c>
      <c r="AM12" s="432">
        <f t="shared" si="5"/>
        <v>0</v>
      </c>
      <c r="AN12" s="431">
        <f t="shared" si="5"/>
        <v>237355.34000000005</v>
      </c>
      <c r="AO12" s="432">
        <f t="shared" si="5"/>
        <v>272083</v>
      </c>
      <c r="AP12" s="431">
        <f t="shared" si="5"/>
        <v>11711.73</v>
      </c>
      <c r="AQ12" s="432">
        <f t="shared" si="5"/>
        <v>9709.09</v>
      </c>
      <c r="AR12" s="431">
        <f t="shared" si="5"/>
        <v>21361.389999999996</v>
      </c>
      <c r="AS12" s="432">
        <f t="shared" si="5"/>
        <v>30848</v>
      </c>
      <c r="AT12" s="431">
        <f t="shared" si="5"/>
        <v>25753.279999999999</v>
      </c>
      <c r="AU12" s="432">
        <f t="shared" si="5"/>
        <v>72108</v>
      </c>
      <c r="AV12" s="425">
        <f t="shared" si="0"/>
        <v>1212963.55</v>
      </c>
      <c r="AW12" s="429">
        <f t="shared" si="1"/>
        <v>1333480.0900000001</v>
      </c>
      <c r="AX12" s="431">
        <f t="shared" si="5"/>
        <v>291199.81000000006</v>
      </c>
      <c r="AY12" s="432">
        <f t="shared" si="5"/>
        <v>407663</v>
      </c>
      <c r="AZ12" s="425">
        <f t="shared" si="2"/>
        <v>1504163.36</v>
      </c>
      <c r="BA12" s="429">
        <f t="shared" si="3"/>
        <v>1741143.09</v>
      </c>
    </row>
    <row r="13" spans="1:53" ht="42.75" x14ac:dyDescent="0.3">
      <c r="A13" s="1095" t="s">
        <v>126</v>
      </c>
      <c r="B13" s="1002">
        <v>4535.6499999999996</v>
      </c>
      <c r="C13" s="54">
        <v>3550</v>
      </c>
      <c r="D13" s="18">
        <v>2455.0500000000002</v>
      </c>
      <c r="E13" s="19">
        <v>803</v>
      </c>
      <c r="F13" s="16">
        <f>301.54+438.01+4900.23</f>
        <v>5639.78</v>
      </c>
      <c r="G13" s="19">
        <f>306+382+1651</f>
        <v>2339</v>
      </c>
      <c r="H13" s="16">
        <v>4346.1499999999996</v>
      </c>
      <c r="I13" s="19">
        <f>2601</f>
        <v>2601</v>
      </c>
      <c r="J13" s="16">
        <f>650.34+511.08</f>
        <v>1161.42</v>
      </c>
      <c r="K13" s="19"/>
      <c r="L13" s="16">
        <v>55234</v>
      </c>
      <c r="M13" s="19"/>
      <c r="N13" s="16">
        <f>793+2780</f>
        <v>3573</v>
      </c>
      <c r="O13" s="19">
        <f>2899+1690</f>
        <v>4589</v>
      </c>
      <c r="P13" s="16">
        <f>68.04+314.81+17176.83</f>
        <v>17559.68</v>
      </c>
      <c r="Q13" s="19">
        <f>60+890</f>
        <v>950</v>
      </c>
      <c r="R13" s="16">
        <f>22.61+440.59</f>
        <v>463.2</v>
      </c>
      <c r="S13" s="19">
        <v>5427</v>
      </c>
      <c r="T13" s="16">
        <f>278.76+6.04+18868.74</f>
        <v>19153.54</v>
      </c>
      <c r="U13" s="19">
        <f>15848+211+367</f>
        <v>16426</v>
      </c>
      <c r="V13" s="16">
        <f>731.68+943+2697.24</f>
        <v>4371.92</v>
      </c>
      <c r="W13" s="19">
        <f>1891+4002+1052</f>
        <v>6945</v>
      </c>
      <c r="X13" s="18">
        <f>2480.26+1056.11</f>
        <v>3536.37</v>
      </c>
      <c r="Y13" s="19">
        <f>1569</f>
        <v>1569</v>
      </c>
      <c r="Z13" s="16">
        <v>314</v>
      </c>
      <c r="AA13" s="19">
        <v>361</v>
      </c>
      <c r="AB13" s="16">
        <f>1087.19+320.32+128.03</f>
        <v>1535.54</v>
      </c>
      <c r="AC13" s="19">
        <v>812</v>
      </c>
      <c r="AD13" s="16">
        <v>662.57</v>
      </c>
      <c r="AE13" s="19">
        <v>252</v>
      </c>
      <c r="AF13" s="16">
        <f>3907.34+1763.42</f>
        <v>5670.76</v>
      </c>
      <c r="AG13" s="19">
        <v>2213</v>
      </c>
      <c r="AH13" s="16">
        <v>1080</v>
      </c>
      <c r="AI13" s="19">
        <v>1240</v>
      </c>
      <c r="AJ13" s="16">
        <f>2724.22+982.57</f>
        <v>3706.79</v>
      </c>
      <c r="AK13" s="19">
        <v>1353</v>
      </c>
      <c r="AL13" s="16"/>
      <c r="AM13" s="19"/>
      <c r="AN13" s="252"/>
      <c r="AO13" s="256"/>
      <c r="AP13" s="22">
        <f>52.57+241.22</f>
        <v>293.79000000000002</v>
      </c>
      <c r="AQ13" s="23">
        <v>134</v>
      </c>
      <c r="AR13" s="24">
        <f>275.37+605.62</f>
        <v>880.99</v>
      </c>
      <c r="AS13" s="25">
        <v>643</v>
      </c>
      <c r="AT13" s="16">
        <f>479.59+748.73</f>
        <v>1228.32</v>
      </c>
      <c r="AU13" s="19">
        <v>2494</v>
      </c>
      <c r="AV13" s="11">
        <f t="shared" si="0"/>
        <v>137402.51999999996</v>
      </c>
      <c r="AW13" s="280">
        <f t="shared" si="1"/>
        <v>54701</v>
      </c>
      <c r="AX13" s="24">
        <v>46.4</v>
      </c>
      <c r="AY13" s="25">
        <v>50</v>
      </c>
      <c r="AZ13" s="11">
        <f t="shared" si="2"/>
        <v>137448.91999999995</v>
      </c>
      <c r="BA13" s="280">
        <f t="shared" si="3"/>
        <v>54751</v>
      </c>
    </row>
    <row r="14" spans="1:53" x14ac:dyDescent="0.3">
      <c r="A14" s="1095" t="s">
        <v>127</v>
      </c>
      <c r="B14" s="1002"/>
      <c r="C14" s="54"/>
      <c r="D14" s="18"/>
      <c r="E14" s="19"/>
      <c r="F14" s="16"/>
      <c r="G14" s="19"/>
      <c r="H14" s="16"/>
      <c r="I14" s="19"/>
      <c r="J14" s="16"/>
      <c r="K14" s="19"/>
      <c r="L14" s="16"/>
      <c r="M14" s="19"/>
      <c r="N14" s="16"/>
      <c r="O14" s="19"/>
      <c r="P14" s="16"/>
      <c r="Q14" s="19"/>
      <c r="R14" s="16"/>
      <c r="S14" s="19"/>
      <c r="T14" s="16"/>
      <c r="U14" s="19"/>
      <c r="V14" s="16"/>
      <c r="W14" s="19"/>
      <c r="X14" s="18"/>
      <c r="Y14" s="19"/>
      <c r="Z14" s="16"/>
      <c r="AA14" s="19"/>
      <c r="AB14" s="16"/>
      <c r="AC14" s="19"/>
      <c r="AD14" s="16"/>
      <c r="AE14" s="19"/>
      <c r="AF14" s="16"/>
      <c r="AG14" s="19"/>
      <c r="AH14" s="16"/>
      <c r="AI14" s="19"/>
      <c r="AJ14" s="16"/>
      <c r="AK14" s="19"/>
      <c r="AL14" s="16"/>
      <c r="AM14" s="19"/>
      <c r="AN14" s="254"/>
      <c r="AO14" s="258"/>
      <c r="AP14" s="22"/>
      <c r="AQ14" s="23"/>
      <c r="AR14" s="24"/>
      <c r="AS14" s="25"/>
      <c r="AT14" s="16"/>
      <c r="AU14" s="19"/>
      <c r="AV14" s="11">
        <f t="shared" si="0"/>
        <v>0</v>
      </c>
      <c r="AW14" s="280">
        <f t="shared" si="1"/>
        <v>0</v>
      </c>
      <c r="AX14" s="24"/>
      <c r="AY14" s="25"/>
      <c r="AZ14" s="11">
        <f t="shared" si="2"/>
        <v>0</v>
      </c>
      <c r="BA14" s="280">
        <f t="shared" si="3"/>
        <v>0</v>
      </c>
    </row>
    <row r="15" spans="1:53" x14ac:dyDescent="0.3">
      <c r="A15" s="1095" t="s">
        <v>128</v>
      </c>
      <c r="B15" s="11"/>
      <c r="C15" s="13"/>
      <c r="D15" s="29"/>
      <c r="E15" s="30"/>
      <c r="F15" s="28"/>
      <c r="G15" s="30"/>
      <c r="H15" s="28"/>
      <c r="I15" s="30"/>
      <c r="J15" s="28"/>
      <c r="K15" s="30"/>
      <c r="L15" s="28"/>
      <c r="M15" s="30"/>
      <c r="N15" s="28"/>
      <c r="O15" s="30"/>
      <c r="P15" s="28"/>
      <c r="Q15" s="30"/>
      <c r="R15" s="28"/>
      <c r="S15" s="30"/>
      <c r="T15" s="28"/>
      <c r="U15" s="30"/>
      <c r="V15" s="28"/>
      <c r="W15" s="30"/>
      <c r="X15" s="29"/>
      <c r="Y15" s="30"/>
      <c r="Z15" s="20"/>
      <c r="AA15" s="21"/>
      <c r="AB15" s="28"/>
      <c r="AC15" s="30"/>
      <c r="AD15" s="31"/>
      <c r="AE15" s="32"/>
      <c r="AF15" s="28"/>
      <c r="AG15" s="30"/>
      <c r="AH15" s="28"/>
      <c r="AI15" s="30"/>
      <c r="AJ15" s="28"/>
      <c r="AK15" s="30"/>
      <c r="AL15" s="16"/>
      <c r="AM15" s="19"/>
      <c r="AN15" s="253">
        <v>121.65</v>
      </c>
      <c r="AO15" s="257">
        <v>131</v>
      </c>
      <c r="AP15" s="22"/>
      <c r="AQ15" s="23"/>
      <c r="AR15" s="24"/>
      <c r="AS15" s="25"/>
      <c r="AT15" s="28"/>
      <c r="AU15" s="30"/>
      <c r="AV15" s="11">
        <f t="shared" si="0"/>
        <v>121.65</v>
      </c>
      <c r="AW15" s="280">
        <f t="shared" si="1"/>
        <v>131</v>
      </c>
      <c r="AX15" s="28"/>
      <c r="AY15" s="30"/>
      <c r="AZ15" s="11">
        <f t="shared" si="2"/>
        <v>121.65</v>
      </c>
      <c r="BA15" s="280">
        <f t="shared" si="3"/>
        <v>131</v>
      </c>
    </row>
    <row r="16" spans="1:53" ht="28.5" x14ac:dyDescent="0.3">
      <c r="A16" s="1095" t="s">
        <v>129</v>
      </c>
      <c r="B16" s="1002"/>
      <c r="C16" s="54"/>
      <c r="D16" s="18"/>
      <c r="E16" s="19"/>
      <c r="F16" s="16"/>
      <c r="G16" s="19"/>
      <c r="H16" s="16"/>
      <c r="I16" s="19"/>
      <c r="J16" s="16"/>
      <c r="K16" s="19"/>
      <c r="L16" s="16"/>
      <c r="M16" s="19"/>
      <c r="N16" s="16"/>
      <c r="O16" s="19"/>
      <c r="P16" s="16"/>
      <c r="Q16" s="19"/>
      <c r="R16" s="16"/>
      <c r="S16" s="19"/>
      <c r="T16" s="16"/>
      <c r="U16" s="19"/>
      <c r="V16" s="16"/>
      <c r="W16" s="19"/>
      <c r="X16" s="18"/>
      <c r="Y16" s="19"/>
      <c r="Z16" s="20"/>
      <c r="AA16" s="21"/>
      <c r="AB16" s="16"/>
      <c r="AC16" s="19"/>
      <c r="AD16" s="16"/>
      <c r="AE16" s="19"/>
      <c r="AF16" s="16"/>
      <c r="AG16" s="19"/>
      <c r="AH16" s="16"/>
      <c r="AI16" s="19"/>
      <c r="AJ16" s="16"/>
      <c r="AK16" s="19"/>
      <c r="AL16" s="16"/>
      <c r="AM16" s="19"/>
      <c r="AN16" s="253">
        <v>1.41</v>
      </c>
      <c r="AO16" s="257"/>
      <c r="AP16" s="22"/>
      <c r="AQ16" s="23"/>
      <c r="AR16" s="24"/>
      <c r="AS16" s="25"/>
      <c r="AT16" s="16"/>
      <c r="AU16" s="19"/>
      <c r="AV16" s="11">
        <f t="shared" si="0"/>
        <v>1.41</v>
      </c>
      <c r="AW16" s="280">
        <f t="shared" si="1"/>
        <v>0</v>
      </c>
      <c r="AX16" s="16"/>
      <c r="AY16" s="19"/>
      <c r="AZ16" s="11">
        <f t="shared" si="2"/>
        <v>1.41</v>
      </c>
      <c r="BA16" s="280">
        <f t="shared" si="3"/>
        <v>0</v>
      </c>
    </row>
    <row r="17" spans="1:53" x14ac:dyDescent="0.3">
      <c r="A17" s="1095" t="s">
        <v>130</v>
      </c>
      <c r="B17" s="1002"/>
      <c r="C17" s="54"/>
      <c r="D17" s="18"/>
      <c r="E17" s="19"/>
      <c r="F17" s="16"/>
      <c r="G17" s="19"/>
      <c r="H17" s="16"/>
      <c r="I17" s="19"/>
      <c r="J17" s="16"/>
      <c r="K17" s="19"/>
      <c r="L17" s="16"/>
      <c r="M17" s="19"/>
      <c r="N17" s="16"/>
      <c r="O17" s="19"/>
      <c r="P17" s="16"/>
      <c r="Q17" s="19"/>
      <c r="R17" s="16"/>
      <c r="S17" s="19"/>
      <c r="T17" s="16"/>
      <c r="U17" s="19"/>
      <c r="V17" s="16"/>
      <c r="W17" s="19"/>
      <c r="X17" s="18"/>
      <c r="Y17" s="19"/>
      <c r="Z17" s="20"/>
      <c r="AA17" s="21"/>
      <c r="AB17" s="16"/>
      <c r="AC17" s="19"/>
      <c r="AD17" s="16"/>
      <c r="AE17" s="19"/>
      <c r="AF17" s="16"/>
      <c r="AG17" s="19"/>
      <c r="AH17" s="16"/>
      <c r="AI17" s="19"/>
      <c r="AJ17" s="16"/>
      <c r="AK17" s="19"/>
      <c r="AL17" s="16"/>
      <c r="AM17" s="19"/>
      <c r="AN17" s="253">
        <v>20.74</v>
      </c>
      <c r="AO17" s="257">
        <v>14</v>
      </c>
      <c r="AP17" s="22"/>
      <c r="AQ17" s="23"/>
      <c r="AR17" s="24"/>
      <c r="AS17" s="25"/>
      <c r="AT17" s="16"/>
      <c r="AU17" s="19"/>
      <c r="AV17" s="11">
        <f t="shared" si="0"/>
        <v>20.74</v>
      </c>
      <c r="AW17" s="280">
        <f t="shared" si="1"/>
        <v>14</v>
      </c>
      <c r="AX17" s="16"/>
      <c r="AY17" s="19"/>
      <c r="AZ17" s="11">
        <f t="shared" si="2"/>
        <v>20.74</v>
      </c>
      <c r="BA17" s="280">
        <f t="shared" si="3"/>
        <v>14</v>
      </c>
    </row>
    <row r="18" spans="1:53" x14ac:dyDescent="0.3">
      <c r="A18" s="1095" t="s">
        <v>131</v>
      </c>
      <c r="B18" s="11">
        <v>501.44</v>
      </c>
      <c r="C18" s="54">
        <f>2481+823</f>
        <v>3304</v>
      </c>
      <c r="D18" s="18"/>
      <c r="E18" s="19"/>
      <c r="F18" s="16"/>
      <c r="G18" s="19"/>
      <c r="H18" s="16">
        <v>823.69</v>
      </c>
      <c r="I18" s="19">
        <v>1356</v>
      </c>
      <c r="J18" s="16"/>
      <c r="K18" s="19"/>
      <c r="L18" s="16">
        <v>375.02</v>
      </c>
      <c r="M18" s="19"/>
      <c r="N18" s="16"/>
      <c r="O18" s="19"/>
      <c r="P18" s="16"/>
      <c r="Q18" s="19"/>
      <c r="R18" s="16">
        <v>8503.1299999999992</v>
      </c>
      <c r="S18" s="19">
        <v>1819</v>
      </c>
      <c r="T18" s="16"/>
      <c r="U18" s="19">
        <f>3666+252</f>
        <v>3918</v>
      </c>
      <c r="V18" s="16"/>
      <c r="W18" s="19"/>
      <c r="X18" s="18"/>
      <c r="Y18" s="19">
        <f>589+8220</f>
        <v>8809</v>
      </c>
      <c r="Z18" s="20">
        <v>283</v>
      </c>
      <c r="AA18" s="21">
        <v>224</v>
      </c>
      <c r="AB18" s="16"/>
      <c r="AC18" s="19">
        <v>880</v>
      </c>
      <c r="AD18" s="16"/>
      <c r="AE18" s="19">
        <v>262</v>
      </c>
      <c r="AF18" s="16"/>
      <c r="AG18" s="19">
        <v>2456</v>
      </c>
      <c r="AH18" s="16">
        <v>5</v>
      </c>
      <c r="AI18" s="19">
        <f>49+561</f>
        <v>610</v>
      </c>
      <c r="AJ18" s="16"/>
      <c r="AK18" s="19">
        <f>1707+534</f>
        <v>2241</v>
      </c>
      <c r="AL18" s="16"/>
      <c r="AM18" s="19"/>
      <c r="AN18" s="253">
        <v>329.48</v>
      </c>
      <c r="AO18" s="257">
        <v>12880</v>
      </c>
      <c r="AP18" s="22"/>
      <c r="AQ18" s="23"/>
      <c r="AR18" s="24"/>
      <c r="AS18" s="25">
        <f>461+340+1</f>
        <v>802</v>
      </c>
      <c r="AT18" s="16"/>
      <c r="AU18" s="19">
        <v>218</v>
      </c>
      <c r="AV18" s="11">
        <f t="shared" si="0"/>
        <v>10820.759999999998</v>
      </c>
      <c r="AW18" s="280">
        <f t="shared" si="1"/>
        <v>39779</v>
      </c>
      <c r="AX18" s="16"/>
      <c r="AY18" s="19"/>
      <c r="AZ18" s="11">
        <f t="shared" si="2"/>
        <v>10820.759999999998</v>
      </c>
      <c r="BA18" s="280">
        <f t="shared" si="3"/>
        <v>39779</v>
      </c>
    </row>
    <row r="19" spans="1:53" ht="28.5" x14ac:dyDescent="0.3">
      <c r="A19" s="1095" t="s">
        <v>132</v>
      </c>
      <c r="B19" s="1002"/>
      <c r="C19" s="54">
        <v>125</v>
      </c>
      <c r="D19" s="18"/>
      <c r="E19" s="19"/>
      <c r="F19" s="16"/>
      <c r="G19" s="19"/>
      <c r="H19" s="16"/>
      <c r="I19" s="19"/>
      <c r="J19" s="16"/>
      <c r="K19" s="19"/>
      <c r="L19" s="16"/>
      <c r="M19" s="19"/>
      <c r="N19" s="16">
        <v>53</v>
      </c>
      <c r="O19" s="19">
        <v>40</v>
      </c>
      <c r="P19" s="16"/>
      <c r="Q19" s="19"/>
      <c r="R19" s="16">
        <v>67.33</v>
      </c>
      <c r="S19" s="19">
        <v>68</v>
      </c>
      <c r="T19" s="16"/>
      <c r="U19" s="19"/>
      <c r="V19" s="16">
        <v>2000</v>
      </c>
      <c r="W19" s="19">
        <v>1302</v>
      </c>
      <c r="X19" s="18"/>
      <c r="Y19" s="19">
        <v>691</v>
      </c>
      <c r="Z19" s="20">
        <v>258</v>
      </c>
      <c r="AA19" s="21">
        <v>281</v>
      </c>
      <c r="AB19" s="16"/>
      <c r="AC19" s="19"/>
      <c r="AD19" s="16">
        <v>966.1</v>
      </c>
      <c r="AE19" s="19">
        <v>1194</v>
      </c>
      <c r="AF19" s="16"/>
      <c r="AG19" s="19">
        <v>840</v>
      </c>
      <c r="AH19" s="16">
        <v>215</v>
      </c>
      <c r="AI19" s="19">
        <v>192</v>
      </c>
      <c r="AJ19" s="16"/>
      <c r="AK19" s="19"/>
      <c r="AL19" s="16"/>
      <c r="AM19" s="19"/>
      <c r="AN19" s="253">
        <v>2625.21</v>
      </c>
      <c r="AO19" s="257">
        <v>2673</v>
      </c>
      <c r="AP19" s="22">
        <v>116.34</v>
      </c>
      <c r="AQ19" s="23">
        <v>135</v>
      </c>
      <c r="AR19" s="24">
        <v>167</v>
      </c>
      <c r="AS19" s="25">
        <v>167</v>
      </c>
      <c r="AT19" s="16">
        <v>86.24</v>
      </c>
      <c r="AU19" s="19">
        <v>201</v>
      </c>
      <c r="AV19" s="11">
        <f t="shared" si="0"/>
        <v>6554.2199999999993</v>
      </c>
      <c r="AW19" s="280">
        <f t="shared" si="1"/>
        <v>7909</v>
      </c>
      <c r="AX19" s="16"/>
      <c r="AY19" s="19"/>
      <c r="AZ19" s="11">
        <f t="shared" si="2"/>
        <v>6554.2199999999993</v>
      </c>
      <c r="BA19" s="280">
        <f t="shared" si="3"/>
        <v>7909</v>
      </c>
    </row>
    <row r="20" spans="1:53" x14ac:dyDescent="0.3">
      <c r="A20" s="1095" t="s">
        <v>133</v>
      </c>
      <c r="B20" s="11"/>
      <c r="C20" s="13"/>
      <c r="D20" s="29"/>
      <c r="E20" s="30"/>
      <c r="F20" s="28"/>
      <c r="G20" s="30"/>
      <c r="H20" s="28"/>
      <c r="I20" s="30"/>
      <c r="J20" s="28"/>
      <c r="K20" s="30"/>
      <c r="L20" s="28"/>
      <c r="M20" s="30"/>
      <c r="N20" s="28"/>
      <c r="O20" s="30"/>
      <c r="P20" s="28"/>
      <c r="Q20" s="30"/>
      <c r="R20" s="28"/>
      <c r="S20" s="30"/>
      <c r="T20" s="28"/>
      <c r="U20" s="30"/>
      <c r="V20" s="28"/>
      <c r="W20" s="30"/>
      <c r="X20" s="29"/>
      <c r="Y20" s="30"/>
      <c r="Z20" s="20"/>
      <c r="AA20" s="21"/>
      <c r="AB20" s="28"/>
      <c r="AC20" s="30">
        <v>1.67</v>
      </c>
      <c r="AD20" s="31"/>
      <c r="AE20" s="32"/>
      <c r="AF20" s="28"/>
      <c r="AG20" s="30"/>
      <c r="AH20" s="28"/>
      <c r="AI20" s="30"/>
      <c r="AJ20" s="28"/>
      <c r="AK20" s="30"/>
      <c r="AL20" s="16"/>
      <c r="AM20" s="19"/>
      <c r="AN20" s="254"/>
      <c r="AO20" s="258"/>
      <c r="AP20" s="22"/>
      <c r="AQ20" s="23"/>
      <c r="AR20" s="24"/>
      <c r="AS20" s="25">
        <v>1200</v>
      </c>
      <c r="AT20" s="28"/>
      <c r="AU20" s="30"/>
      <c r="AV20" s="11">
        <f t="shared" si="0"/>
        <v>0</v>
      </c>
      <c r="AW20" s="280">
        <f t="shared" si="1"/>
        <v>1201.67</v>
      </c>
      <c r="AX20" s="28"/>
      <c r="AY20" s="30"/>
      <c r="AZ20" s="11">
        <f t="shared" si="2"/>
        <v>0</v>
      </c>
      <c r="BA20" s="280">
        <f t="shared" si="3"/>
        <v>1201.67</v>
      </c>
    </row>
    <row r="21" spans="1:53" ht="28.5" x14ac:dyDescent="0.3">
      <c r="A21" s="1095" t="s">
        <v>134</v>
      </c>
      <c r="B21" s="1002">
        <v>14717.31</v>
      </c>
      <c r="C21" s="54">
        <v>7703</v>
      </c>
      <c r="D21" s="18">
        <v>7339.06</v>
      </c>
      <c r="E21" s="19">
        <f>8429+59</f>
        <v>8488</v>
      </c>
      <c r="F21" s="16">
        <v>5194</v>
      </c>
      <c r="G21" s="19">
        <v>12987</v>
      </c>
      <c r="H21" s="16">
        <f>49824.81+11520.56</f>
        <v>61345.369999999995</v>
      </c>
      <c r="I21" s="19">
        <f>27043+85943</f>
        <v>112986</v>
      </c>
      <c r="J21" s="16">
        <v>20040.07</v>
      </c>
      <c r="K21" s="19">
        <v>23144</v>
      </c>
      <c r="L21" s="16">
        <v>17850</v>
      </c>
      <c r="M21" s="19"/>
      <c r="N21" s="264">
        <v>833</v>
      </c>
      <c r="O21" s="19">
        <v>7791</v>
      </c>
      <c r="P21" s="16">
        <v>9335.61</v>
      </c>
      <c r="Q21" s="19">
        <f>17132+9309</f>
        <v>26441</v>
      </c>
      <c r="R21" s="16">
        <v>955.04</v>
      </c>
      <c r="S21" s="19">
        <v>12167</v>
      </c>
      <c r="T21" s="16">
        <v>851.48</v>
      </c>
      <c r="U21" s="19"/>
      <c r="V21" s="16">
        <v>25855.91</v>
      </c>
      <c r="W21" s="19">
        <v>56943</v>
      </c>
      <c r="X21" s="18">
        <f>9794.74+147683.21</f>
        <v>157477.94999999998</v>
      </c>
      <c r="Y21" s="19">
        <f>21450+194661</f>
        <v>216111</v>
      </c>
      <c r="Z21" s="20">
        <v>314</v>
      </c>
      <c r="AA21" s="21">
        <v>134</v>
      </c>
      <c r="AB21" s="16">
        <v>16790.79</v>
      </c>
      <c r="AC21" s="19">
        <f>47+48389</f>
        <v>48436</v>
      </c>
      <c r="AD21" s="16">
        <f>211.36+708.58</f>
        <v>919.94</v>
      </c>
      <c r="AE21" s="19">
        <v>4047</v>
      </c>
      <c r="AF21" s="16">
        <f>5018.71+1717.55</f>
        <v>6736.26</v>
      </c>
      <c r="AG21" s="19">
        <f>1557+11675</f>
        <v>13232</v>
      </c>
      <c r="AH21" s="16">
        <f>299+5880</f>
        <v>6179</v>
      </c>
      <c r="AI21" s="19">
        <f>250+22288</f>
        <v>22538</v>
      </c>
      <c r="AJ21" s="16">
        <f>6347.49+18425.41</f>
        <v>24772.9</v>
      </c>
      <c r="AK21" s="19">
        <f>8456+10672</f>
        <v>19128</v>
      </c>
      <c r="AL21" s="16"/>
      <c r="AM21" s="19"/>
      <c r="AN21" s="254">
        <v>82479.37</v>
      </c>
      <c r="AO21" s="258">
        <v>98215</v>
      </c>
      <c r="AP21" s="22">
        <v>195.96</v>
      </c>
      <c r="AQ21" s="23">
        <v>8140</v>
      </c>
      <c r="AR21" s="24">
        <f>7489.03+994.25+1809.93+1701.42</f>
        <v>11994.63</v>
      </c>
      <c r="AS21" s="25">
        <v>28047</v>
      </c>
      <c r="AT21" s="16">
        <v>17570.62</v>
      </c>
      <c r="AU21" s="19">
        <f>56018+4009</f>
        <v>60027</v>
      </c>
      <c r="AV21" s="11">
        <f t="shared" si="0"/>
        <v>489748.27</v>
      </c>
      <c r="AW21" s="280">
        <f t="shared" si="1"/>
        <v>786705</v>
      </c>
      <c r="AX21" s="24">
        <v>475.97</v>
      </c>
      <c r="AY21" s="25">
        <v>942</v>
      </c>
      <c r="AZ21" s="11">
        <f t="shared" si="2"/>
        <v>490224.24</v>
      </c>
      <c r="BA21" s="280">
        <f t="shared" si="3"/>
        <v>787647</v>
      </c>
    </row>
    <row r="22" spans="1:53" ht="28.5" x14ac:dyDescent="0.3">
      <c r="A22" s="1095" t="s">
        <v>135</v>
      </c>
      <c r="B22" s="1002"/>
      <c r="C22" s="54"/>
      <c r="D22" s="18"/>
      <c r="E22" s="19"/>
      <c r="F22" s="16"/>
      <c r="G22" s="19"/>
      <c r="H22" s="16"/>
      <c r="I22" s="19"/>
      <c r="J22" s="16"/>
      <c r="K22" s="19"/>
      <c r="L22" s="16">
        <v>0.65</v>
      </c>
      <c r="M22" s="19"/>
      <c r="N22" s="16"/>
      <c r="O22" s="19"/>
      <c r="P22" s="16"/>
      <c r="Q22" s="19"/>
      <c r="R22" s="16"/>
      <c r="S22" s="19"/>
      <c r="T22" s="16"/>
      <c r="U22" s="19"/>
      <c r="V22" s="16"/>
      <c r="W22" s="19"/>
      <c r="X22" s="18"/>
      <c r="Y22" s="19"/>
      <c r="Z22" s="20"/>
      <c r="AA22" s="21"/>
      <c r="AB22" s="16"/>
      <c r="AC22" s="19"/>
      <c r="AD22" s="16"/>
      <c r="AE22" s="19"/>
      <c r="AF22" s="16"/>
      <c r="AG22" s="19"/>
      <c r="AH22" s="16"/>
      <c r="AI22" s="19"/>
      <c r="AJ22" s="16"/>
      <c r="AK22" s="19"/>
      <c r="AL22" s="16"/>
      <c r="AM22" s="19"/>
      <c r="AN22" s="252"/>
      <c r="AO22" s="256"/>
      <c r="AP22" s="22"/>
      <c r="AQ22" s="23"/>
      <c r="AR22" s="24"/>
      <c r="AS22" s="25"/>
      <c r="AT22" s="16"/>
      <c r="AU22" s="19"/>
      <c r="AV22" s="11">
        <f t="shared" si="0"/>
        <v>0.65</v>
      </c>
      <c r="AW22" s="280">
        <f t="shared" si="1"/>
        <v>0</v>
      </c>
      <c r="AX22" s="24"/>
      <c r="AY22" s="25"/>
      <c r="AZ22" s="11">
        <f t="shared" si="2"/>
        <v>0.65</v>
      </c>
      <c r="BA22" s="280">
        <f t="shared" si="3"/>
        <v>0</v>
      </c>
    </row>
    <row r="23" spans="1:53" ht="28.5" x14ac:dyDescent="0.3">
      <c r="A23" s="1095" t="s">
        <v>136</v>
      </c>
      <c r="B23" s="1002"/>
      <c r="C23" s="54"/>
      <c r="D23" s="18"/>
      <c r="E23" s="19"/>
      <c r="F23" s="16">
        <v>-20.57</v>
      </c>
      <c r="G23" s="19">
        <v>-103</v>
      </c>
      <c r="H23" s="16">
        <v>-4149.6899999999996</v>
      </c>
      <c r="I23" s="19">
        <v>-11685</v>
      </c>
      <c r="J23" s="16"/>
      <c r="K23" s="19"/>
      <c r="L23" s="16"/>
      <c r="M23" s="19"/>
      <c r="N23" s="16">
        <v>6578.27</v>
      </c>
      <c r="O23" s="19">
        <v>188</v>
      </c>
      <c r="P23" s="16">
        <v>-244.49</v>
      </c>
      <c r="Q23" s="19">
        <v>-1744</v>
      </c>
      <c r="R23" s="16"/>
      <c r="S23" s="19"/>
      <c r="T23" s="16">
        <v>510</v>
      </c>
      <c r="U23" s="19"/>
      <c r="V23" s="16">
        <v>-3730.6</v>
      </c>
      <c r="W23" s="19">
        <v>-3332</v>
      </c>
      <c r="X23" s="18">
        <v>2858.43</v>
      </c>
      <c r="Y23" s="19">
        <v>12766</v>
      </c>
      <c r="Z23" s="20">
        <v>92.61</v>
      </c>
      <c r="AA23" s="21">
        <v>-62</v>
      </c>
      <c r="AB23" s="16">
        <v>-275</v>
      </c>
      <c r="AC23" s="19">
        <v>-330</v>
      </c>
      <c r="AD23" s="16">
        <v>31.96</v>
      </c>
      <c r="AE23" s="19">
        <v>-58</v>
      </c>
      <c r="AF23" s="16">
        <v>80</v>
      </c>
      <c r="AG23" s="19">
        <v>-118</v>
      </c>
      <c r="AH23" s="16"/>
      <c r="AI23" s="19"/>
      <c r="AJ23" s="16"/>
      <c r="AK23" s="19">
        <v>-745</v>
      </c>
      <c r="AL23" s="16"/>
      <c r="AM23" s="19"/>
      <c r="AN23" s="253">
        <v>-2468.29</v>
      </c>
      <c r="AO23" s="257">
        <v>2096</v>
      </c>
      <c r="AP23" s="22"/>
      <c r="AQ23" s="23"/>
      <c r="AR23" s="24">
        <v>1784</v>
      </c>
      <c r="AS23" s="25">
        <v>-2320</v>
      </c>
      <c r="AT23" s="16"/>
      <c r="AU23" s="19"/>
      <c r="AV23" s="11">
        <f t="shared" si="0"/>
        <v>1046.6300000000012</v>
      </c>
      <c r="AW23" s="280">
        <f t="shared" si="1"/>
        <v>-5447</v>
      </c>
      <c r="AX23" s="24"/>
      <c r="AY23" s="25"/>
      <c r="AZ23" s="11">
        <f t="shared" si="2"/>
        <v>1046.6300000000012</v>
      </c>
      <c r="BA23" s="280">
        <f t="shared" si="3"/>
        <v>-5447</v>
      </c>
    </row>
    <row r="24" spans="1:53" ht="28.5" x14ac:dyDescent="0.3">
      <c r="A24" s="1095" t="s">
        <v>137</v>
      </c>
      <c r="B24" s="1002"/>
      <c r="C24" s="54"/>
      <c r="D24" s="18"/>
      <c r="E24" s="19">
        <v>155</v>
      </c>
      <c r="F24" s="16"/>
      <c r="G24" s="19"/>
      <c r="H24" s="16"/>
      <c r="I24" s="19">
        <v>12718</v>
      </c>
      <c r="J24" s="16"/>
      <c r="K24" s="19"/>
      <c r="L24" s="16"/>
      <c r="M24" s="19"/>
      <c r="N24" s="16"/>
      <c r="O24" s="19"/>
      <c r="P24" s="16"/>
      <c r="Q24" s="19"/>
      <c r="R24" s="16"/>
      <c r="S24" s="19"/>
      <c r="T24" s="16"/>
      <c r="U24" s="19">
        <v>407</v>
      </c>
      <c r="V24" s="16"/>
      <c r="W24" s="19"/>
      <c r="X24" s="18">
        <v>790.79</v>
      </c>
      <c r="Y24" s="19">
        <v>-791</v>
      </c>
      <c r="Z24" s="20"/>
      <c r="AA24" s="21"/>
      <c r="AB24" s="16">
        <v>88.06</v>
      </c>
      <c r="AC24" s="19">
        <v>-26</v>
      </c>
      <c r="AD24" s="16"/>
      <c r="AE24" s="19"/>
      <c r="AF24" s="16"/>
      <c r="AG24" s="19"/>
      <c r="AH24" s="16"/>
      <c r="AI24" s="19"/>
      <c r="AJ24" s="16"/>
      <c r="AK24" s="19"/>
      <c r="AL24" s="16"/>
      <c r="AM24" s="19"/>
      <c r="AN24" s="254"/>
      <c r="AO24" s="258"/>
      <c r="AP24" s="22"/>
      <c r="AQ24" s="23"/>
      <c r="AR24" s="24">
        <v>-22.59</v>
      </c>
      <c r="AS24" s="25">
        <v>12</v>
      </c>
      <c r="AT24" s="16">
        <v>87.33</v>
      </c>
      <c r="AU24" s="19">
        <v>198</v>
      </c>
      <c r="AV24" s="11">
        <f t="shared" si="0"/>
        <v>943.58999999999992</v>
      </c>
      <c r="AW24" s="280">
        <f t="shared" si="1"/>
        <v>12673</v>
      </c>
      <c r="AX24" s="24"/>
      <c r="AY24" s="25"/>
      <c r="AZ24" s="11">
        <f t="shared" si="2"/>
        <v>943.58999999999992</v>
      </c>
      <c r="BA24" s="280">
        <f t="shared" si="3"/>
        <v>12673</v>
      </c>
    </row>
    <row r="25" spans="1:53" x14ac:dyDescent="0.3">
      <c r="A25" s="1095" t="s">
        <v>202</v>
      </c>
      <c r="B25" s="1002"/>
      <c r="C25" s="54"/>
      <c r="D25" s="18"/>
      <c r="E25" s="19"/>
      <c r="F25" s="16"/>
      <c r="G25" s="19"/>
      <c r="H25" s="16"/>
      <c r="I25" s="19"/>
      <c r="J25" s="16"/>
      <c r="K25" s="19"/>
      <c r="L25" s="16"/>
      <c r="M25" s="19"/>
      <c r="N25" s="16"/>
      <c r="O25" s="19"/>
      <c r="P25" s="16"/>
      <c r="Q25" s="19"/>
      <c r="R25" s="16"/>
      <c r="S25" s="19"/>
      <c r="T25" s="16"/>
      <c r="U25" s="19"/>
      <c r="V25" s="16"/>
      <c r="W25" s="19"/>
      <c r="X25" s="18">
        <v>3288</v>
      </c>
      <c r="Y25" s="19"/>
      <c r="Z25" s="20"/>
      <c r="AA25" s="21"/>
      <c r="AB25" s="16"/>
      <c r="AC25" s="19"/>
      <c r="AD25" s="16"/>
      <c r="AE25" s="19"/>
      <c r="AF25" s="16"/>
      <c r="AG25" s="19"/>
      <c r="AH25" s="16"/>
      <c r="AI25" s="19"/>
      <c r="AJ25" s="16"/>
      <c r="AK25" s="19"/>
      <c r="AL25" s="16"/>
      <c r="AM25" s="19"/>
      <c r="AN25" s="254"/>
      <c r="AO25" s="258"/>
      <c r="AP25" s="376"/>
      <c r="AQ25" s="23"/>
      <c r="AR25" s="24">
        <v>12.7</v>
      </c>
      <c r="AS25" s="25">
        <v>17</v>
      </c>
      <c r="AT25" s="16"/>
      <c r="AU25" s="19"/>
      <c r="AV25" s="11"/>
      <c r="AW25" s="375"/>
      <c r="AX25" s="24"/>
      <c r="AY25" s="25"/>
      <c r="AZ25" s="11"/>
      <c r="BA25" s="375"/>
    </row>
    <row r="26" spans="1:53" s="430" customFormat="1" x14ac:dyDescent="0.3">
      <c r="A26" s="1096" t="s">
        <v>292</v>
      </c>
      <c r="B26" s="425">
        <f>SUM(B13:B24)</f>
        <v>19754.399999999998</v>
      </c>
      <c r="C26" s="427">
        <f t="shared" ref="C26:AG26" si="6">SUM(C13:C24)</f>
        <v>14682</v>
      </c>
      <c r="D26" s="428">
        <f t="shared" si="6"/>
        <v>9794.11</v>
      </c>
      <c r="E26" s="427">
        <f t="shared" si="6"/>
        <v>9446</v>
      </c>
      <c r="F26" s="426">
        <f t="shared" si="6"/>
        <v>10813.21</v>
      </c>
      <c r="G26" s="427">
        <f t="shared" si="6"/>
        <v>15223</v>
      </c>
      <c r="H26" s="426">
        <f t="shared" si="6"/>
        <v>62365.51999999999</v>
      </c>
      <c r="I26" s="427">
        <f t="shared" si="6"/>
        <v>117976</v>
      </c>
      <c r="J26" s="426">
        <f t="shared" si="6"/>
        <v>21201.489999999998</v>
      </c>
      <c r="K26" s="427">
        <f t="shared" si="6"/>
        <v>23144</v>
      </c>
      <c r="L26" s="426">
        <f t="shared" si="6"/>
        <v>73459.669999999984</v>
      </c>
      <c r="M26" s="427">
        <f t="shared" si="6"/>
        <v>0</v>
      </c>
      <c r="N26" s="426">
        <f t="shared" si="6"/>
        <v>11037.27</v>
      </c>
      <c r="O26" s="427">
        <f t="shared" si="6"/>
        <v>12608</v>
      </c>
      <c r="P26" s="426">
        <f t="shared" si="6"/>
        <v>26650.799999999999</v>
      </c>
      <c r="Q26" s="427">
        <f t="shared" si="6"/>
        <v>25647</v>
      </c>
      <c r="R26" s="426">
        <f t="shared" si="6"/>
        <v>9988.7000000000007</v>
      </c>
      <c r="S26" s="427">
        <f t="shared" si="6"/>
        <v>19481</v>
      </c>
      <c r="T26" s="426">
        <f t="shared" si="6"/>
        <v>20515.02</v>
      </c>
      <c r="U26" s="427">
        <f t="shared" si="6"/>
        <v>20751</v>
      </c>
      <c r="V26" s="426">
        <f t="shared" si="6"/>
        <v>28497.230000000003</v>
      </c>
      <c r="W26" s="427">
        <f t="shared" si="6"/>
        <v>61858</v>
      </c>
      <c r="X26" s="428">
        <f>SUM(X13:X24)</f>
        <v>164663.53999999998</v>
      </c>
      <c r="Y26" s="427">
        <f t="shared" si="6"/>
        <v>239155</v>
      </c>
      <c r="Z26" s="426">
        <f t="shared" si="6"/>
        <v>1261.6099999999999</v>
      </c>
      <c r="AA26" s="427">
        <f t="shared" si="6"/>
        <v>938</v>
      </c>
      <c r="AB26" s="426">
        <f t="shared" si="6"/>
        <v>18139.390000000003</v>
      </c>
      <c r="AC26" s="427">
        <f t="shared" si="6"/>
        <v>49773.67</v>
      </c>
      <c r="AD26" s="426">
        <f t="shared" si="6"/>
        <v>2580.5700000000002</v>
      </c>
      <c r="AE26" s="427">
        <f t="shared" si="6"/>
        <v>5697</v>
      </c>
      <c r="AF26" s="426">
        <f t="shared" si="6"/>
        <v>12487.02</v>
      </c>
      <c r="AG26" s="427">
        <f t="shared" si="6"/>
        <v>18623</v>
      </c>
      <c r="AH26" s="426">
        <f t="shared" ref="AH26:AU26" si="7">SUM(AH13:AH24)</f>
        <v>7479</v>
      </c>
      <c r="AI26" s="427">
        <f t="shared" si="7"/>
        <v>24580</v>
      </c>
      <c r="AJ26" s="426">
        <f t="shared" si="7"/>
        <v>28479.690000000002</v>
      </c>
      <c r="AK26" s="427">
        <f t="shared" si="7"/>
        <v>21977</v>
      </c>
      <c r="AL26" s="426">
        <f t="shared" si="7"/>
        <v>0</v>
      </c>
      <c r="AM26" s="427">
        <f t="shared" si="7"/>
        <v>0</v>
      </c>
      <c r="AN26" s="426">
        <f t="shared" si="7"/>
        <v>83109.570000000007</v>
      </c>
      <c r="AO26" s="427">
        <f t="shared" si="7"/>
        <v>116009</v>
      </c>
      <c r="AP26" s="427">
        <f t="shared" si="7"/>
        <v>606.09</v>
      </c>
      <c r="AQ26" s="427">
        <f t="shared" si="7"/>
        <v>8409</v>
      </c>
      <c r="AR26" s="426">
        <f>SUM(AR13:AR25)</f>
        <v>14816.73</v>
      </c>
      <c r="AS26" s="427">
        <f>SUM(AS13:AS25)</f>
        <v>28568</v>
      </c>
      <c r="AT26" s="426">
        <f t="shared" si="7"/>
        <v>18972.510000000002</v>
      </c>
      <c r="AU26" s="427">
        <f t="shared" si="7"/>
        <v>63138</v>
      </c>
      <c r="AV26" s="425">
        <f t="shared" ref="AV26:AV37" si="8">SUM(B26+D26+F26+H26+J26+L26+N26+P26+R26+T26+V26+X26+Z26+AB26+AD26+AF26+AH26+AJ26+AL26+AN26+AP26+AR26+AT26)</f>
        <v>646673.14</v>
      </c>
      <c r="AW26" s="429">
        <f t="shared" ref="AW26:AW37" si="9">SUM(C26+E26+G26+I26+K26+M26+O26+Q26+S26+U26+W26+Y26+AA26+AC26+AE26+AG26+AI26+AK26+AM26+AO26+AQ26+AS26+AU26)</f>
        <v>897683.67</v>
      </c>
      <c r="AX26" s="426">
        <f>SUM(AX13:AX24)</f>
        <v>522.37</v>
      </c>
      <c r="AY26" s="427">
        <f>SUM(AY13:AY24)</f>
        <v>992</v>
      </c>
      <c r="AZ26" s="425">
        <f t="shared" ref="AZ26:AZ37" si="10">AV26+AX26</f>
        <v>647195.51</v>
      </c>
      <c r="BA26" s="429">
        <f t="shared" ref="BA26:BA37" si="11">AW26+AY26</f>
        <v>898675.67</v>
      </c>
    </row>
    <row r="27" spans="1:53" x14ac:dyDescent="0.3">
      <c r="A27" s="1095" t="s">
        <v>138</v>
      </c>
      <c r="B27" s="1002">
        <v>11794.8</v>
      </c>
      <c r="C27" s="54">
        <v>14090</v>
      </c>
      <c r="D27" s="18">
        <v>-8859.11</v>
      </c>
      <c r="E27" s="19">
        <v>-8840</v>
      </c>
      <c r="F27" s="16">
        <v>-4274.24</v>
      </c>
      <c r="G27" s="19">
        <v>-8592</v>
      </c>
      <c r="H27" s="16">
        <v>69375</v>
      </c>
      <c r="I27" s="19">
        <v>31863</v>
      </c>
      <c r="J27" s="16">
        <v>-15404.51</v>
      </c>
      <c r="K27" s="19">
        <v>-342448</v>
      </c>
      <c r="L27" s="16">
        <v>10211.9</v>
      </c>
      <c r="M27" s="19">
        <v>1024</v>
      </c>
      <c r="N27" s="16">
        <v>10240.58</v>
      </c>
      <c r="O27" s="19">
        <v>-395</v>
      </c>
      <c r="P27" s="16">
        <v>-23569.18</v>
      </c>
      <c r="Q27" s="19">
        <v>-22528</v>
      </c>
      <c r="R27" s="16">
        <v>6118.6</v>
      </c>
      <c r="S27" s="19">
        <v>1401</v>
      </c>
      <c r="T27" s="16">
        <v>-11385</v>
      </c>
      <c r="U27" s="19">
        <v>-18393</v>
      </c>
      <c r="V27" s="16">
        <v>135349.38</v>
      </c>
      <c r="W27" s="19">
        <v>118014</v>
      </c>
      <c r="X27" s="18">
        <v>107740.59</v>
      </c>
      <c r="Y27" s="19">
        <v>79478</v>
      </c>
      <c r="Z27" s="20">
        <v>13498.72</v>
      </c>
      <c r="AA27" s="21">
        <v>10427</v>
      </c>
      <c r="AB27" s="16">
        <v>3019.04</v>
      </c>
      <c r="AC27" s="19">
        <v>-28161</v>
      </c>
      <c r="AD27" s="16">
        <v>72489.45</v>
      </c>
      <c r="AE27" s="19">
        <v>46172</v>
      </c>
      <c r="AF27" s="16">
        <v>50991.82</v>
      </c>
      <c r="AG27" s="19">
        <v>41695</v>
      </c>
      <c r="AH27" s="16">
        <v>11316</v>
      </c>
      <c r="AI27" s="19">
        <v>-7104</v>
      </c>
      <c r="AJ27" s="16">
        <v>5028.08</v>
      </c>
      <c r="AK27" s="19">
        <v>6521</v>
      </c>
      <c r="AL27" s="16"/>
      <c r="AM27" s="19"/>
      <c r="AN27" s="253">
        <v>154245.76999999999</v>
      </c>
      <c r="AO27" s="257">
        <v>156076</v>
      </c>
      <c r="AP27" s="22">
        <v>11105.65</v>
      </c>
      <c r="AQ27" s="23">
        <v>1300</v>
      </c>
      <c r="AR27" s="24">
        <v>6544.66</v>
      </c>
      <c r="AS27" s="25">
        <v>2280</v>
      </c>
      <c r="AT27" s="16">
        <v>6761.34</v>
      </c>
      <c r="AU27" s="19">
        <v>8965</v>
      </c>
      <c r="AV27" s="11">
        <f t="shared" si="8"/>
        <v>622339.34</v>
      </c>
      <c r="AW27" s="280">
        <f t="shared" si="9"/>
        <v>82845</v>
      </c>
      <c r="AX27" s="24">
        <v>290677.44</v>
      </c>
      <c r="AY27" s="25">
        <v>406671</v>
      </c>
      <c r="AZ27" s="11">
        <f t="shared" si="10"/>
        <v>913016.78</v>
      </c>
      <c r="BA27" s="280">
        <f t="shared" si="11"/>
        <v>489516</v>
      </c>
    </row>
    <row r="28" spans="1:53" x14ac:dyDescent="0.3">
      <c r="A28" s="1095" t="s">
        <v>139</v>
      </c>
      <c r="B28" s="1002">
        <v>1149</v>
      </c>
      <c r="C28" s="54"/>
      <c r="D28" s="18"/>
      <c r="E28" s="19"/>
      <c r="F28" s="16"/>
      <c r="G28" s="19"/>
      <c r="H28" s="16"/>
      <c r="I28" s="19"/>
      <c r="J28" s="16"/>
      <c r="K28" s="19"/>
      <c r="L28" s="16">
        <v>750</v>
      </c>
      <c r="M28" s="19"/>
      <c r="N28" s="16"/>
      <c r="O28" s="19"/>
      <c r="P28" s="16"/>
      <c r="Q28" s="19"/>
      <c r="R28" s="16"/>
      <c r="S28" s="19"/>
      <c r="T28" s="16"/>
      <c r="U28" s="19"/>
      <c r="V28" s="16">
        <v>-661.07</v>
      </c>
      <c r="W28" s="33">
        <v>-2755</v>
      </c>
      <c r="X28" s="18"/>
      <c r="Y28" s="19"/>
      <c r="Z28" s="20">
        <v>1554.28</v>
      </c>
      <c r="AA28" s="21">
        <v>993</v>
      </c>
      <c r="AB28" s="16"/>
      <c r="AC28" s="19"/>
      <c r="AD28" s="16"/>
      <c r="AE28" s="19"/>
      <c r="AF28" s="16">
        <v>-1307.21</v>
      </c>
      <c r="AG28" s="19">
        <v>3030</v>
      </c>
      <c r="AH28" s="16">
        <v>1207</v>
      </c>
      <c r="AI28" s="19"/>
      <c r="AJ28" s="16"/>
      <c r="AK28" s="19"/>
      <c r="AL28" s="16"/>
      <c r="AM28" s="19"/>
      <c r="AN28" s="252"/>
      <c r="AO28" s="256"/>
      <c r="AP28" s="22"/>
      <c r="AQ28" s="23">
        <v>1045</v>
      </c>
      <c r="AR28" s="24"/>
      <c r="AS28" s="25"/>
      <c r="AT28" s="16">
        <v>2050.77</v>
      </c>
      <c r="AU28" s="19">
        <v>1893</v>
      </c>
      <c r="AV28" s="11">
        <f t="shared" si="8"/>
        <v>4742.7700000000004</v>
      </c>
      <c r="AW28" s="280">
        <f>SUM(C28+E28+G28+I28+K28+M28+O28+Q28+S28+U28+W34+Y28+AA28+AC28+AE28+AG28+AI28+AK28+AM28+AO28+AQ28+AS28+AU28)</f>
        <v>6961</v>
      </c>
      <c r="AX28" s="24">
        <v>620.76</v>
      </c>
      <c r="AY28" s="25">
        <v>2359</v>
      </c>
      <c r="AZ28" s="11">
        <f t="shared" si="10"/>
        <v>5363.5300000000007</v>
      </c>
      <c r="BA28" s="280">
        <f t="shared" si="11"/>
        <v>9320</v>
      </c>
    </row>
    <row r="29" spans="1:53" ht="28.5" x14ac:dyDescent="0.3">
      <c r="A29" s="1095" t="s">
        <v>140</v>
      </c>
      <c r="B29" s="1002"/>
      <c r="C29" s="54"/>
      <c r="D29" s="18"/>
      <c r="E29" s="19"/>
      <c r="F29" s="16"/>
      <c r="G29" s="19"/>
      <c r="H29" s="16">
        <v>11349.72</v>
      </c>
      <c r="I29" s="19">
        <v>-578</v>
      </c>
      <c r="J29" s="16"/>
      <c r="K29" s="19"/>
      <c r="L29" s="16"/>
      <c r="M29" s="19"/>
      <c r="N29" s="16">
        <v>-961.11</v>
      </c>
      <c r="O29" s="19">
        <v>-105</v>
      </c>
      <c r="P29" s="16"/>
      <c r="Q29" s="19"/>
      <c r="R29" s="16">
        <v>-656.55</v>
      </c>
      <c r="S29" s="19">
        <v>-240</v>
      </c>
      <c r="T29" s="16"/>
      <c r="U29" s="19"/>
      <c r="V29" s="16"/>
      <c r="W29" s="19"/>
      <c r="X29" s="18">
        <v>0.13</v>
      </c>
      <c r="Y29" s="19">
        <v>85</v>
      </c>
      <c r="Z29" s="20"/>
      <c r="AA29" s="21"/>
      <c r="AB29" s="16"/>
      <c r="AC29" s="19"/>
      <c r="AD29" s="16"/>
      <c r="AE29" s="19"/>
      <c r="AF29" s="16"/>
      <c r="AG29" s="19"/>
      <c r="AH29" s="16"/>
      <c r="AI29" s="19"/>
      <c r="AJ29" s="16"/>
      <c r="AK29" s="19"/>
      <c r="AL29" s="16"/>
      <c r="AM29" s="19"/>
      <c r="AN29" s="252"/>
      <c r="AO29" s="256"/>
      <c r="AP29" s="22"/>
      <c r="AQ29" s="23"/>
      <c r="AR29" s="24"/>
      <c r="AS29" s="25"/>
      <c r="AT29" s="16"/>
      <c r="AU29" s="19"/>
      <c r="AV29" s="11">
        <f t="shared" si="8"/>
        <v>9732.1899999999987</v>
      </c>
      <c r="AW29" s="280">
        <f t="shared" si="9"/>
        <v>-838</v>
      </c>
      <c r="AX29" s="24"/>
      <c r="AY29" s="25"/>
      <c r="AZ29" s="11">
        <f t="shared" si="10"/>
        <v>9732.1899999999987</v>
      </c>
      <c r="BA29" s="280">
        <f t="shared" si="11"/>
        <v>-838</v>
      </c>
    </row>
    <row r="30" spans="1:53" x14ac:dyDescent="0.3">
      <c r="A30" s="1095" t="s">
        <v>379</v>
      </c>
      <c r="B30" s="1002"/>
      <c r="C30" s="54"/>
      <c r="D30" s="18"/>
      <c r="E30" s="19"/>
      <c r="F30" s="16"/>
      <c r="G30" s="19"/>
      <c r="H30" s="16"/>
      <c r="I30" s="19"/>
      <c r="J30" s="16"/>
      <c r="K30" s="19"/>
      <c r="L30" s="16"/>
      <c r="M30" s="19"/>
      <c r="N30" s="16"/>
      <c r="O30" s="19"/>
      <c r="P30" s="16"/>
      <c r="Q30" s="19"/>
      <c r="R30" s="16"/>
      <c r="S30" s="19"/>
      <c r="T30" s="16"/>
      <c r="U30" s="19"/>
      <c r="V30" s="16"/>
      <c r="W30" s="19"/>
      <c r="X30" s="18">
        <v>-12125.18</v>
      </c>
      <c r="Y30" s="19">
        <v>-3642</v>
      </c>
      <c r="Z30" s="20"/>
      <c r="AA30" s="21"/>
      <c r="AB30" s="16"/>
      <c r="AC30" s="19"/>
      <c r="AD30" s="16">
        <v>3296.33</v>
      </c>
      <c r="AE30" s="19">
        <v>3633</v>
      </c>
      <c r="AF30" s="16"/>
      <c r="AG30" s="19"/>
      <c r="AH30" s="16"/>
      <c r="AI30" s="19"/>
      <c r="AJ30" s="16"/>
      <c r="AK30" s="19"/>
      <c r="AL30" s="16"/>
      <c r="AM30" s="19"/>
      <c r="AN30" s="253">
        <v>8660.83</v>
      </c>
      <c r="AO30" s="257">
        <v>5476</v>
      </c>
      <c r="AP30" s="22">
        <v>486.48</v>
      </c>
      <c r="AQ30" s="23"/>
      <c r="AR30" s="24"/>
      <c r="AS30" s="25"/>
      <c r="AT30" s="16"/>
      <c r="AU30" s="19"/>
      <c r="AV30" s="11">
        <f t="shared" si="8"/>
        <v>318.45999999999958</v>
      </c>
      <c r="AW30" s="280">
        <f t="shared" si="9"/>
        <v>5467</v>
      </c>
      <c r="AX30" s="24"/>
      <c r="AY30" s="25"/>
      <c r="AZ30" s="11">
        <f t="shared" si="10"/>
        <v>318.45999999999958</v>
      </c>
      <c r="BA30" s="280">
        <f t="shared" si="11"/>
        <v>5467</v>
      </c>
    </row>
    <row r="31" spans="1:53" s="624" customFormat="1" x14ac:dyDescent="0.3">
      <c r="A31" s="1097" t="s">
        <v>378</v>
      </c>
      <c r="B31" s="11">
        <v>10646.04</v>
      </c>
      <c r="C31" s="13">
        <f>C27</f>
        <v>14090</v>
      </c>
      <c r="D31" s="29">
        <v>-8859</v>
      </c>
      <c r="E31" s="30">
        <f>E27</f>
        <v>-8840</v>
      </c>
      <c r="F31" s="28">
        <v>-4274.24</v>
      </c>
      <c r="G31" s="30">
        <f>G27</f>
        <v>-8592</v>
      </c>
      <c r="H31" s="28">
        <v>58025.279999999999</v>
      </c>
      <c r="I31" s="30">
        <v>32441</v>
      </c>
      <c r="J31" s="29">
        <f>J27</f>
        <v>-15404.51</v>
      </c>
      <c r="K31" s="309">
        <v>-34248</v>
      </c>
      <c r="L31" s="28">
        <v>9461.9</v>
      </c>
      <c r="M31" s="28">
        <v>1024</v>
      </c>
      <c r="N31" s="28">
        <v>9279.4699999999993</v>
      </c>
      <c r="O31" s="30">
        <v>-500</v>
      </c>
      <c r="P31" s="28">
        <v>-23569.18</v>
      </c>
      <c r="Q31" s="30">
        <f>Q27</f>
        <v>-22528</v>
      </c>
      <c r="R31" s="28">
        <v>5462.05</v>
      </c>
      <c r="S31" s="30">
        <v>1161</v>
      </c>
      <c r="T31" s="28">
        <f>T27</f>
        <v>-11385</v>
      </c>
      <c r="U31" s="30">
        <f>U27</f>
        <v>-18393</v>
      </c>
      <c r="V31" s="28">
        <v>136010.45000000001</v>
      </c>
      <c r="W31" s="30">
        <v>120769</v>
      </c>
      <c r="X31" s="29">
        <v>95615.54</v>
      </c>
      <c r="Y31" s="30">
        <v>75921</v>
      </c>
      <c r="Z31" s="625">
        <v>11944.44</v>
      </c>
      <c r="AA31" s="862">
        <v>9434</v>
      </c>
      <c r="AB31" s="28">
        <v>3019.04</v>
      </c>
      <c r="AC31" s="30">
        <v>-28161</v>
      </c>
      <c r="AD31" s="28">
        <v>69193.119999999995</v>
      </c>
      <c r="AE31" s="30">
        <v>42539</v>
      </c>
      <c r="AF31" s="16">
        <v>52299.03</v>
      </c>
      <c r="AG31" s="19">
        <v>38666</v>
      </c>
      <c r="AH31" s="28">
        <v>10109</v>
      </c>
      <c r="AI31" s="30">
        <v>-7104</v>
      </c>
      <c r="AJ31" s="28">
        <v>5028.08</v>
      </c>
      <c r="AK31" s="30">
        <v>6521</v>
      </c>
      <c r="AL31" s="28"/>
      <c r="AM31" s="30"/>
      <c r="AN31" s="255">
        <v>145584.94</v>
      </c>
      <c r="AO31" s="259">
        <v>150076</v>
      </c>
      <c r="AP31" s="627">
        <v>10619.17</v>
      </c>
      <c r="AQ31" s="628">
        <v>254</v>
      </c>
      <c r="AR31" s="863">
        <f>AR27</f>
        <v>6544.66</v>
      </c>
      <c r="AS31" s="864">
        <v>2280</v>
      </c>
      <c r="AT31" s="28">
        <v>4710.57</v>
      </c>
      <c r="AU31" s="30">
        <v>7072</v>
      </c>
      <c r="AV31" s="11">
        <f t="shared" si="8"/>
        <v>580060.85</v>
      </c>
      <c r="AW31" s="861">
        <f t="shared" si="9"/>
        <v>373882</v>
      </c>
      <c r="AX31" s="26">
        <v>290056.68</v>
      </c>
      <c r="AY31" s="27">
        <v>404312</v>
      </c>
      <c r="AZ31" s="11">
        <f t="shared" si="10"/>
        <v>870117.53</v>
      </c>
      <c r="BA31" s="861">
        <f t="shared" si="11"/>
        <v>778194</v>
      </c>
    </row>
    <row r="32" spans="1:53" x14ac:dyDescent="0.3">
      <c r="A32" s="1098" t="s">
        <v>141</v>
      </c>
      <c r="B32" s="11"/>
      <c r="C32" s="13"/>
      <c r="D32" s="29"/>
      <c r="E32" s="30"/>
      <c r="F32" s="28"/>
      <c r="G32" s="30"/>
      <c r="H32" s="28"/>
      <c r="I32" s="30"/>
      <c r="J32" s="28"/>
      <c r="K32" s="30"/>
      <c r="L32" s="28"/>
      <c r="M32" s="30"/>
      <c r="N32" s="28"/>
      <c r="O32" s="30"/>
      <c r="P32" s="264"/>
      <c r="Q32" s="30"/>
      <c r="R32" s="28"/>
      <c r="S32" s="30"/>
      <c r="T32" s="28"/>
      <c r="U32" s="30"/>
      <c r="V32" s="28"/>
      <c r="W32" s="30"/>
      <c r="X32" s="29"/>
      <c r="Y32" s="30"/>
      <c r="Z32" s="20"/>
      <c r="AA32" s="21"/>
      <c r="AB32" s="28"/>
      <c r="AC32" s="30"/>
      <c r="AD32" s="31"/>
      <c r="AE32" s="32"/>
      <c r="AF32" s="28"/>
      <c r="AG32" s="30"/>
      <c r="AH32" s="28"/>
      <c r="AI32" s="30"/>
      <c r="AJ32" s="28"/>
      <c r="AK32" s="30"/>
      <c r="AL32" s="16"/>
      <c r="AM32" s="19"/>
      <c r="AN32" s="252"/>
      <c r="AO32" s="256"/>
      <c r="AP32" s="22"/>
      <c r="AQ32" s="23"/>
      <c r="AR32" s="24"/>
      <c r="AS32" s="25"/>
      <c r="AT32" s="28"/>
      <c r="AU32" s="30"/>
      <c r="AV32" s="11">
        <f t="shared" si="8"/>
        <v>0</v>
      </c>
      <c r="AW32" s="280">
        <f t="shared" si="9"/>
        <v>0</v>
      </c>
      <c r="AX32" s="28"/>
      <c r="AY32" s="30"/>
      <c r="AZ32" s="11">
        <f t="shared" si="10"/>
        <v>0</v>
      </c>
      <c r="BA32" s="280">
        <f t="shared" si="11"/>
        <v>0</v>
      </c>
    </row>
    <row r="33" spans="1:53" ht="28.5" x14ac:dyDescent="0.3">
      <c r="A33" s="1095" t="s">
        <v>142</v>
      </c>
      <c r="B33" s="1002">
        <v>-853.38</v>
      </c>
      <c r="C33" s="54">
        <v>8293</v>
      </c>
      <c r="D33" s="18">
        <v>-61552.09</v>
      </c>
      <c r="E33" s="19">
        <v>-70411</v>
      </c>
      <c r="F33" s="16">
        <v>-134667</v>
      </c>
      <c r="G33" s="19">
        <v>-138941</v>
      </c>
      <c r="H33" s="16">
        <v>866176.68</v>
      </c>
      <c r="I33" s="19">
        <v>907624</v>
      </c>
      <c r="J33" s="16">
        <v>-270755.18</v>
      </c>
      <c r="K33" s="19">
        <v>-286150</v>
      </c>
      <c r="L33" s="16">
        <v>11050.83</v>
      </c>
      <c r="M33" s="19">
        <v>20513</v>
      </c>
      <c r="N33" s="16">
        <v>-29730.27</v>
      </c>
      <c r="O33" s="19">
        <v>-20450</v>
      </c>
      <c r="P33" s="28">
        <v>-139329.78</v>
      </c>
      <c r="Q33" s="19">
        <v>-162899</v>
      </c>
      <c r="R33" s="16">
        <v>-69759.23</v>
      </c>
      <c r="S33" s="19">
        <v>-64297</v>
      </c>
      <c r="T33" s="16">
        <v>-186333</v>
      </c>
      <c r="U33" s="19">
        <v>-197717</v>
      </c>
      <c r="V33" s="16">
        <v>456929.25</v>
      </c>
      <c r="W33" s="19">
        <v>592939</v>
      </c>
      <c r="X33" s="18">
        <v>264446.86</v>
      </c>
      <c r="Y33" s="19">
        <v>360062</v>
      </c>
      <c r="Z33" s="24">
        <v>11916.27</v>
      </c>
      <c r="AA33" s="25">
        <v>23861</v>
      </c>
      <c r="AB33" s="16">
        <v>-19928.439999999999</v>
      </c>
      <c r="AC33" s="19">
        <v>-16909</v>
      </c>
      <c r="AD33" s="16">
        <v>279121.33</v>
      </c>
      <c r="AE33" s="19">
        <v>348314</v>
      </c>
      <c r="AF33" s="16">
        <v>51829.19</v>
      </c>
      <c r="AG33" s="19">
        <v>84173</v>
      </c>
      <c r="AH33" s="16">
        <v>-70176</v>
      </c>
      <c r="AI33" s="19">
        <v>-60067</v>
      </c>
      <c r="AJ33" s="16">
        <v>-19734.810000000001</v>
      </c>
      <c r="AK33" s="19">
        <v>-14707</v>
      </c>
      <c r="AL33" s="16"/>
      <c r="AM33" s="19"/>
      <c r="AN33" s="253">
        <v>788232.69</v>
      </c>
      <c r="AO33" s="257">
        <v>908816</v>
      </c>
      <c r="AP33" s="22">
        <v>47044.49</v>
      </c>
      <c r="AQ33" s="23">
        <v>54668</v>
      </c>
      <c r="AR33" s="24">
        <v>12796.91</v>
      </c>
      <c r="AS33" s="25">
        <v>19342</v>
      </c>
      <c r="AT33" s="16">
        <v>13416.85</v>
      </c>
      <c r="AU33" s="19">
        <v>18127</v>
      </c>
      <c r="AV33" s="11">
        <f t="shared" si="8"/>
        <v>1800142.17</v>
      </c>
      <c r="AW33" s="280">
        <f t="shared" si="9"/>
        <v>2314184</v>
      </c>
      <c r="AX33" s="16"/>
      <c r="AY33" s="19"/>
      <c r="AZ33" s="11">
        <f t="shared" si="10"/>
        <v>1800142.17</v>
      </c>
      <c r="BA33" s="280">
        <f t="shared" si="11"/>
        <v>2314184</v>
      </c>
    </row>
    <row r="34" spans="1:53" ht="28.5" x14ac:dyDescent="0.3">
      <c r="A34" s="1099" t="s">
        <v>440</v>
      </c>
      <c r="B34" s="1002"/>
      <c r="C34" s="54"/>
      <c r="D34" s="18"/>
      <c r="E34" s="19"/>
      <c r="F34" s="16"/>
      <c r="G34" s="19"/>
      <c r="H34" s="16">
        <v>16577.990000000002</v>
      </c>
      <c r="I34" s="19">
        <v>13715</v>
      </c>
      <c r="J34" s="16"/>
      <c r="K34" s="19"/>
      <c r="L34" s="16"/>
      <c r="M34" s="19"/>
      <c r="N34" s="16"/>
      <c r="O34" s="19"/>
      <c r="P34" s="16"/>
      <c r="Q34" s="19"/>
      <c r="R34" s="16"/>
      <c r="S34" s="19"/>
      <c r="T34" s="16"/>
      <c r="U34" s="19"/>
      <c r="V34" s="16"/>
      <c r="W34" s="19"/>
      <c r="X34" s="18"/>
      <c r="Y34" s="19">
        <v>38731</v>
      </c>
      <c r="Z34" s="24"/>
      <c r="AA34" s="25">
        <v>-10400</v>
      </c>
      <c r="AB34" s="16"/>
      <c r="AC34" s="19"/>
      <c r="AD34" s="16"/>
      <c r="AE34" s="19"/>
      <c r="AF34" s="16">
        <v>19955.650000000001</v>
      </c>
      <c r="AG34" s="19"/>
      <c r="AH34" s="16"/>
      <c r="AI34" s="19"/>
      <c r="AJ34" s="16"/>
      <c r="AK34" s="19"/>
      <c r="AL34" s="16"/>
      <c r="AM34" s="19"/>
      <c r="AN34" s="254">
        <v>25001.77</v>
      </c>
      <c r="AO34" s="258">
        <v>20007</v>
      </c>
      <c r="AP34" s="22"/>
      <c r="AQ34" s="23">
        <v>4430</v>
      </c>
      <c r="AR34" s="24"/>
      <c r="AS34" s="25">
        <v>984</v>
      </c>
      <c r="AT34" s="16"/>
      <c r="AU34" s="19"/>
      <c r="AV34" s="11">
        <f t="shared" si="8"/>
        <v>61535.41</v>
      </c>
      <c r="AW34" s="1273">
        <f t="shared" si="9"/>
        <v>67467</v>
      </c>
      <c r="AX34" s="16"/>
      <c r="AY34" s="19"/>
      <c r="AZ34" s="11">
        <f t="shared" si="10"/>
        <v>61535.41</v>
      </c>
      <c r="BA34" s="280">
        <f t="shared" si="11"/>
        <v>67467</v>
      </c>
    </row>
    <row r="35" spans="1:53" ht="28.5" x14ac:dyDescent="0.3">
      <c r="A35" s="1099" t="s">
        <v>143</v>
      </c>
      <c r="B35" s="1002"/>
      <c r="C35" s="54"/>
      <c r="D35" s="18"/>
      <c r="E35" s="19"/>
      <c r="F35" s="16"/>
      <c r="G35" s="19"/>
      <c r="H35" s="16"/>
      <c r="I35" s="19"/>
      <c r="J35" s="16"/>
      <c r="K35" s="19"/>
      <c r="L35" s="16"/>
      <c r="M35" s="19"/>
      <c r="N35" s="16"/>
      <c r="O35" s="19"/>
      <c r="P35" s="16"/>
      <c r="Q35" s="19"/>
      <c r="R35" s="16"/>
      <c r="S35" s="19"/>
      <c r="T35" s="16"/>
      <c r="U35" s="19"/>
      <c r="V35" s="16"/>
      <c r="W35" s="19">
        <v>-40847</v>
      </c>
      <c r="X35" s="18"/>
      <c r="Y35" s="19"/>
      <c r="Z35" s="24"/>
      <c r="AA35" s="25"/>
      <c r="AB35" s="16"/>
      <c r="AC35" s="19"/>
      <c r="AD35" s="16"/>
      <c r="AE35" s="19">
        <v>8165</v>
      </c>
      <c r="AF35" s="16"/>
      <c r="AG35" s="19">
        <v>17653</v>
      </c>
      <c r="AH35" s="16"/>
      <c r="AI35" s="19"/>
      <c r="AJ35" s="16"/>
      <c r="AK35" s="19"/>
      <c r="AL35" s="16"/>
      <c r="AM35" s="19"/>
      <c r="AN35" s="254"/>
      <c r="AO35" s="258"/>
      <c r="AP35" s="22">
        <v>2995.56</v>
      </c>
      <c r="AQ35" s="23"/>
      <c r="AR35" s="24"/>
      <c r="AS35" s="25"/>
      <c r="AT35" s="16"/>
      <c r="AU35" s="19"/>
      <c r="AV35" s="11">
        <f t="shared" si="8"/>
        <v>2995.56</v>
      </c>
      <c r="AW35" s="280">
        <f t="shared" si="9"/>
        <v>-15029</v>
      </c>
      <c r="AX35" s="16"/>
      <c r="AY35" s="19"/>
      <c r="AZ35" s="11">
        <f t="shared" si="10"/>
        <v>2995.56</v>
      </c>
      <c r="BA35" s="280">
        <f t="shared" si="11"/>
        <v>-15029</v>
      </c>
    </row>
    <row r="36" spans="1:53" x14ac:dyDescent="0.3">
      <c r="A36" s="1095" t="s">
        <v>144</v>
      </c>
      <c r="B36" s="1002"/>
      <c r="C36" s="54"/>
      <c r="D36" s="18"/>
      <c r="E36" s="19"/>
      <c r="F36" s="16"/>
      <c r="G36" s="19"/>
      <c r="H36" s="16"/>
      <c r="I36" s="19"/>
      <c r="J36" s="16"/>
      <c r="K36" s="19"/>
      <c r="L36" s="16"/>
      <c r="M36" s="19"/>
      <c r="N36" s="16"/>
      <c r="O36" s="19"/>
      <c r="P36" s="16"/>
      <c r="Q36" s="19"/>
      <c r="R36" s="16"/>
      <c r="S36" s="19"/>
      <c r="T36" s="16"/>
      <c r="U36" s="19"/>
      <c r="V36" s="16"/>
      <c r="W36" s="19"/>
      <c r="X36" s="18"/>
      <c r="Y36" s="19"/>
      <c r="Z36" s="24"/>
      <c r="AA36" s="25"/>
      <c r="AB36" s="16"/>
      <c r="AC36" s="19"/>
      <c r="AD36" s="16"/>
      <c r="AE36" s="19"/>
      <c r="AF36" s="16"/>
      <c r="AG36" s="19"/>
      <c r="AH36" s="16"/>
      <c r="AI36" s="19"/>
      <c r="AJ36" s="16"/>
      <c r="AK36" s="19"/>
      <c r="AL36" s="16"/>
      <c r="AM36" s="19"/>
      <c r="AN36" s="254"/>
      <c r="AO36" s="258"/>
      <c r="AP36" s="22"/>
      <c r="AQ36" s="23"/>
      <c r="AR36" s="24"/>
      <c r="AS36" s="25"/>
      <c r="AT36" s="16"/>
      <c r="AU36" s="19"/>
      <c r="AV36" s="11">
        <f t="shared" si="8"/>
        <v>0</v>
      </c>
      <c r="AW36" s="280">
        <f t="shared" si="9"/>
        <v>0</v>
      </c>
      <c r="AX36" s="16"/>
      <c r="AY36" s="19"/>
      <c r="AZ36" s="11">
        <f t="shared" si="10"/>
        <v>0</v>
      </c>
      <c r="BA36" s="280">
        <f t="shared" si="11"/>
        <v>0</v>
      </c>
    </row>
    <row r="37" spans="1:53" ht="28.5" x14ac:dyDescent="0.3">
      <c r="A37" s="1095" t="s">
        <v>145</v>
      </c>
      <c r="B37" s="11"/>
      <c r="C37" s="13"/>
      <c r="D37" s="1102"/>
      <c r="E37" s="32"/>
      <c r="F37" s="31"/>
      <c r="G37" s="32"/>
      <c r="H37" s="31"/>
      <c r="I37" s="32"/>
      <c r="J37" s="31">
        <v>9.7200000000000006</v>
      </c>
      <c r="K37" s="32">
        <v>15</v>
      </c>
      <c r="L37" s="31"/>
      <c r="M37" s="32"/>
      <c r="N37" s="31"/>
      <c r="O37" s="32"/>
      <c r="P37" s="31"/>
      <c r="Q37" s="32">
        <v>235</v>
      </c>
      <c r="R37" s="31"/>
      <c r="S37" s="32"/>
      <c r="T37" s="31"/>
      <c r="U37" s="32"/>
      <c r="V37" s="31"/>
      <c r="W37" s="32"/>
      <c r="X37" s="29"/>
      <c r="Y37" s="32"/>
      <c r="Z37" s="195"/>
      <c r="AA37" s="204"/>
      <c r="AB37" s="31"/>
      <c r="AC37" s="32"/>
      <c r="AD37" s="31"/>
      <c r="AE37" s="32"/>
      <c r="AF37" s="31"/>
      <c r="AG37" s="32">
        <v>992</v>
      </c>
      <c r="AH37" s="31"/>
      <c r="AI37" s="32"/>
      <c r="AJ37" s="31"/>
      <c r="AK37" s="32"/>
      <c r="AL37" s="196"/>
      <c r="AM37" s="284"/>
      <c r="AN37" s="254"/>
      <c r="AO37" s="258"/>
      <c r="AP37" s="197"/>
      <c r="AQ37" s="260"/>
      <c r="AR37" s="198"/>
      <c r="AS37" s="262">
        <v>1250</v>
      </c>
      <c r="AT37" s="31"/>
      <c r="AU37" s="32"/>
      <c r="AV37" s="11">
        <f t="shared" si="8"/>
        <v>9.7200000000000006</v>
      </c>
      <c r="AW37" s="280">
        <f t="shared" si="9"/>
        <v>2492</v>
      </c>
      <c r="AX37" s="31">
        <v>290056.68</v>
      </c>
      <c r="AY37" s="32">
        <v>2878</v>
      </c>
      <c r="AZ37" s="11">
        <f t="shared" si="10"/>
        <v>290066.39999999997</v>
      </c>
      <c r="BA37" s="280">
        <f t="shared" si="11"/>
        <v>5370</v>
      </c>
    </row>
    <row r="38" spans="1:53" ht="28.5" x14ac:dyDescent="0.3">
      <c r="A38" s="1100" t="s">
        <v>296</v>
      </c>
      <c r="B38" s="11"/>
      <c r="C38" s="13"/>
      <c r="D38" s="1103"/>
      <c r="E38" s="580"/>
      <c r="F38" s="579"/>
      <c r="G38" s="580"/>
      <c r="H38" s="579"/>
      <c r="I38" s="580"/>
      <c r="J38" s="579"/>
      <c r="K38" s="580"/>
      <c r="L38" s="579"/>
      <c r="M38" s="580"/>
      <c r="N38" s="579"/>
      <c r="O38" s="580"/>
      <c r="P38" s="579"/>
      <c r="Q38" s="580"/>
      <c r="R38" s="579"/>
      <c r="S38" s="580"/>
      <c r="T38" s="579"/>
      <c r="U38" s="580"/>
      <c r="V38" s="579"/>
      <c r="W38" s="580"/>
      <c r="X38" s="578"/>
      <c r="Y38" s="580"/>
      <c r="Z38" s="581"/>
      <c r="AA38" s="582"/>
      <c r="AB38" s="579"/>
      <c r="AC38" s="580"/>
      <c r="AD38" s="579"/>
      <c r="AE38" s="580"/>
      <c r="AF38" s="579"/>
      <c r="AG38" s="580"/>
      <c r="AH38" s="579"/>
      <c r="AI38" s="580"/>
      <c r="AJ38" s="579"/>
      <c r="AK38" s="580"/>
      <c r="AL38" s="583"/>
      <c r="AM38" s="584"/>
      <c r="AN38" s="585"/>
      <c r="AO38" s="586"/>
      <c r="AP38" s="587"/>
      <c r="AQ38" s="588"/>
      <c r="AR38" s="589"/>
      <c r="AS38" s="590"/>
      <c r="AT38" s="579"/>
      <c r="AU38" s="580"/>
      <c r="AV38" s="576"/>
      <c r="AW38" s="592"/>
      <c r="AX38" s="579"/>
      <c r="AY38" s="580"/>
      <c r="AZ38" s="591"/>
      <c r="BA38" s="577"/>
    </row>
    <row r="39" spans="1:53" ht="28.5" x14ac:dyDescent="0.3">
      <c r="A39" s="1100" t="s">
        <v>386</v>
      </c>
      <c r="B39" s="11">
        <v>1500</v>
      </c>
      <c r="C39" s="13">
        <v>3500</v>
      </c>
      <c r="D39" s="1103"/>
      <c r="E39" s="580"/>
      <c r="F39" s="579"/>
      <c r="G39" s="580"/>
      <c r="H39" s="579"/>
      <c r="I39" s="580"/>
      <c r="J39" s="579"/>
      <c r="K39" s="580"/>
      <c r="L39" s="579"/>
      <c r="M39" s="580"/>
      <c r="N39" s="579"/>
      <c r="O39" s="580"/>
      <c r="P39" s="579"/>
      <c r="Q39" s="580"/>
      <c r="R39" s="579"/>
      <c r="S39" s="580"/>
      <c r="T39" s="579"/>
      <c r="U39" s="580"/>
      <c r="V39" s="579"/>
      <c r="W39" s="580"/>
      <c r="X39" s="578"/>
      <c r="Y39" s="580"/>
      <c r="Z39" s="581"/>
      <c r="AA39" s="582"/>
      <c r="AB39" s="579"/>
      <c r="AC39" s="580"/>
      <c r="AD39" s="579"/>
      <c r="AE39" s="580"/>
      <c r="AF39" s="579"/>
      <c r="AG39" s="580"/>
      <c r="AH39" s="579"/>
      <c r="AI39" s="580"/>
      <c r="AJ39" s="579"/>
      <c r="AK39" s="580"/>
      <c r="AL39" s="583"/>
      <c r="AM39" s="584"/>
      <c r="AN39" s="585"/>
      <c r="AO39" s="586"/>
      <c r="AP39" s="587"/>
      <c r="AQ39" s="588"/>
      <c r="AR39" s="589"/>
      <c r="AS39" s="590"/>
      <c r="AT39" s="579"/>
      <c r="AU39" s="580">
        <v>4880</v>
      </c>
      <c r="AV39" s="576"/>
      <c r="AW39" s="592"/>
      <c r="AX39" s="579"/>
      <c r="AY39" s="580"/>
      <c r="AZ39" s="591"/>
      <c r="BA39" s="577"/>
    </row>
    <row r="40" spans="1:53" s="424" customFormat="1" ht="27.75" thickBot="1" x14ac:dyDescent="0.3">
      <c r="A40" s="1101" t="s">
        <v>146</v>
      </c>
      <c r="B40" s="1107">
        <v>8293</v>
      </c>
      <c r="C40" s="420">
        <v>17477</v>
      </c>
      <c r="D40" s="421">
        <f>D31+D33</f>
        <v>-70411.09</v>
      </c>
      <c r="E40" s="420">
        <f>E31+E33</f>
        <v>-79251</v>
      </c>
      <c r="F40" s="419">
        <f>F31+F33</f>
        <v>-138941.24</v>
      </c>
      <c r="G40" s="420">
        <f>G31+G33</f>
        <v>-147533</v>
      </c>
      <c r="H40" s="419">
        <v>907623.87</v>
      </c>
      <c r="I40" s="420">
        <v>926350</v>
      </c>
      <c r="J40" s="419">
        <f>J31+J33</f>
        <v>-286159.69</v>
      </c>
      <c r="K40" s="420">
        <f t="shared" ref="K40:U40" si="12">K31+K33</f>
        <v>-320398</v>
      </c>
      <c r="L40" s="419">
        <f t="shared" si="12"/>
        <v>20512.73</v>
      </c>
      <c r="M40" s="420">
        <f t="shared" si="12"/>
        <v>21537</v>
      </c>
      <c r="N40" s="419">
        <f t="shared" si="12"/>
        <v>-20450.800000000003</v>
      </c>
      <c r="O40" s="420">
        <v>-20950</v>
      </c>
      <c r="P40" s="419">
        <f t="shared" si="12"/>
        <v>-162898.96</v>
      </c>
      <c r="Q40" s="420">
        <f t="shared" si="12"/>
        <v>-185427</v>
      </c>
      <c r="R40" s="419">
        <f t="shared" si="12"/>
        <v>-64297.179999999993</v>
      </c>
      <c r="S40" s="420">
        <f t="shared" si="12"/>
        <v>-63136</v>
      </c>
      <c r="T40" s="419">
        <f t="shared" si="12"/>
        <v>-197718</v>
      </c>
      <c r="U40" s="420">
        <f t="shared" si="12"/>
        <v>-216110</v>
      </c>
      <c r="V40" s="419">
        <v>592939.69999999995</v>
      </c>
      <c r="W40" s="420">
        <v>672861</v>
      </c>
      <c r="X40" s="421">
        <v>360062.4</v>
      </c>
      <c r="Y40" s="420">
        <v>407252</v>
      </c>
      <c r="Z40" s="419">
        <f>Z31+Z33</f>
        <v>23860.71</v>
      </c>
      <c r="AA40" s="420">
        <v>22895</v>
      </c>
      <c r="AB40" s="419">
        <v>-16909.39</v>
      </c>
      <c r="AC40" s="420">
        <v>-45071</v>
      </c>
      <c r="AD40" s="419">
        <f>AD31+AD33</f>
        <v>348314.45</v>
      </c>
      <c r="AE40" s="420">
        <f>AE31+AE33-AE35</f>
        <v>382688</v>
      </c>
      <c r="AF40" s="419">
        <v>84172.57</v>
      </c>
      <c r="AG40" s="420">
        <v>104193</v>
      </c>
      <c r="AH40" s="419">
        <f t="shared" ref="AH40:AM40" si="13">AH31+AH33</f>
        <v>-60067</v>
      </c>
      <c r="AI40" s="420">
        <f t="shared" si="13"/>
        <v>-67171</v>
      </c>
      <c r="AJ40" s="419">
        <f t="shared" si="13"/>
        <v>-14706.730000000001</v>
      </c>
      <c r="AK40" s="420">
        <f t="shared" si="13"/>
        <v>-8186</v>
      </c>
      <c r="AL40" s="419">
        <f t="shared" si="13"/>
        <v>0</v>
      </c>
      <c r="AM40" s="420">
        <f t="shared" si="13"/>
        <v>0</v>
      </c>
      <c r="AN40" s="419">
        <v>908815.86</v>
      </c>
      <c r="AO40" s="420">
        <v>1039408</v>
      </c>
      <c r="AP40" s="420">
        <v>54668.1</v>
      </c>
      <c r="AQ40" s="420">
        <v>50491</v>
      </c>
      <c r="AR40" s="419">
        <v>19341.57</v>
      </c>
      <c r="AS40" s="420">
        <v>19388</v>
      </c>
      <c r="AT40" s="419">
        <f>AT31+AT33</f>
        <v>18127.419999999998</v>
      </c>
      <c r="AU40" s="420">
        <v>20319</v>
      </c>
      <c r="AV40" s="422">
        <f>SUM(B40+D40+F40+H40+J40+L40+N40+P40+R40+T40+V40+X40+Z40+AB40+AD40+AF40+AH40+AJ40+AL40+AN40+AP40+AR40+AT40)</f>
        <v>2314172.2999999998</v>
      </c>
      <c r="AW40" s="423">
        <f>SUM(C40+E40+G40+I40+K40+M40+O40+Q40+S40+U40+W40+Y40+AA40+AC40+AE40+AG40+AI40+AK40+AM40+AO40+AQ40+AS40+AU40)</f>
        <v>2531626</v>
      </c>
      <c r="AX40" s="419"/>
      <c r="AY40" s="420">
        <v>401433</v>
      </c>
      <c r="AZ40" s="419">
        <f>AZ31+AZ33</f>
        <v>2670259.7000000002</v>
      </c>
      <c r="BA40" s="420">
        <f>BA31+BA33</f>
        <v>3092378</v>
      </c>
    </row>
    <row r="41" spans="1:53" s="53" customFormat="1" ht="28.5" x14ac:dyDescent="0.3">
      <c r="A41" s="1105" t="s">
        <v>147</v>
      </c>
      <c r="B41" s="297"/>
      <c r="C41" s="270"/>
      <c r="D41" s="287"/>
      <c r="E41" s="605"/>
      <c r="F41" s="297"/>
      <c r="G41" s="270"/>
      <c r="H41" s="287"/>
      <c r="I41" s="605"/>
      <c r="J41" s="269"/>
      <c r="K41" s="270"/>
      <c r="L41" s="269"/>
      <c r="M41" s="270"/>
      <c r="N41" s="269"/>
      <c r="O41" s="270"/>
      <c r="P41" s="285"/>
      <c r="Q41" s="286"/>
      <c r="R41" s="269"/>
      <c r="S41" s="270"/>
      <c r="T41" s="269"/>
      <c r="U41" s="270"/>
      <c r="V41" s="269"/>
      <c r="W41" s="270"/>
      <c r="X41" s="287"/>
      <c r="Y41" s="270"/>
      <c r="Z41" s="288"/>
      <c r="AA41" s="289"/>
      <c r="AB41" s="269"/>
      <c r="AC41" s="270"/>
      <c r="AD41" s="269"/>
      <c r="AE41" s="270"/>
      <c r="AF41" s="269"/>
      <c r="AG41" s="270"/>
      <c r="AH41" s="269"/>
      <c r="AI41" s="270"/>
      <c r="AJ41" s="269"/>
      <c r="AK41" s="270"/>
      <c r="AL41" s="269"/>
      <c r="AM41" s="270"/>
      <c r="AN41" s="290"/>
      <c r="AO41" s="291"/>
      <c r="AP41" s="292"/>
      <c r="AQ41" s="293"/>
      <c r="AR41" s="294"/>
      <c r="AS41" s="295"/>
      <c r="AT41" s="269"/>
      <c r="AU41" s="270"/>
      <c r="AV41" s="268"/>
      <c r="AW41" s="296"/>
      <c r="AX41" s="269"/>
      <c r="AY41" s="270"/>
      <c r="AZ41" s="269"/>
      <c r="BA41" s="270"/>
    </row>
    <row r="42" spans="1:53" x14ac:dyDescent="0.3">
      <c r="A42" s="1095" t="s">
        <v>148</v>
      </c>
      <c r="B42" s="1002"/>
      <c r="C42" s="54"/>
      <c r="D42" s="18"/>
      <c r="E42" s="17"/>
      <c r="F42" s="830"/>
      <c r="G42" s="19"/>
      <c r="H42" s="18"/>
      <c r="I42" s="17"/>
      <c r="J42" s="16"/>
      <c r="K42" s="19"/>
      <c r="L42" s="16"/>
      <c r="M42" s="19"/>
      <c r="N42" s="16"/>
      <c r="O42" s="19"/>
      <c r="P42" s="16"/>
      <c r="Q42" s="19"/>
      <c r="R42" s="16"/>
      <c r="S42" s="19"/>
      <c r="T42" s="16"/>
      <c r="U42" s="19"/>
      <c r="V42" s="16"/>
      <c r="W42" s="19"/>
      <c r="X42" s="16"/>
      <c r="Y42" s="19"/>
      <c r="Z42" s="20"/>
      <c r="AA42" s="21"/>
      <c r="AB42" s="16"/>
      <c r="AC42" s="19"/>
      <c r="AD42" s="16"/>
      <c r="AE42" s="19"/>
      <c r="AF42" s="16"/>
      <c r="AG42" s="19"/>
      <c r="AH42" s="16"/>
      <c r="AI42" s="19"/>
      <c r="AJ42" s="16"/>
      <c r="AK42" s="19"/>
      <c r="AL42" s="16"/>
      <c r="AM42" s="19"/>
      <c r="AN42" s="252"/>
      <c r="AO42" s="256"/>
      <c r="AP42" s="22"/>
      <c r="AQ42" s="23"/>
      <c r="AR42" s="264"/>
      <c r="AS42" s="265"/>
      <c r="AT42" s="16"/>
      <c r="AU42" s="19"/>
      <c r="AV42" s="28"/>
      <c r="AW42" s="30"/>
      <c r="AX42" s="16"/>
      <c r="AY42" s="19"/>
      <c r="AZ42" s="16"/>
      <c r="BA42" s="19"/>
    </row>
    <row r="43" spans="1:53" x14ac:dyDescent="0.3">
      <c r="A43" s="1099" t="s">
        <v>149</v>
      </c>
      <c r="B43" s="1108">
        <v>0.56000000000000005</v>
      </c>
      <c r="C43" s="1109"/>
      <c r="D43" s="18"/>
      <c r="E43" s="17"/>
      <c r="F43" s="1">
        <v>-0.21</v>
      </c>
      <c r="G43" s="3">
        <v>-0.43</v>
      </c>
      <c r="H43" s="18"/>
      <c r="I43" s="17"/>
      <c r="J43" s="2">
        <v>0.52</v>
      </c>
      <c r="K43" s="3">
        <v>1.05</v>
      </c>
      <c r="L43" s="16"/>
      <c r="M43" s="19"/>
      <c r="N43" s="2">
        <v>2.48</v>
      </c>
      <c r="O43" s="3"/>
      <c r="P43" s="2">
        <v>-7.54</v>
      </c>
      <c r="Q43" s="3">
        <v>-5.07</v>
      </c>
      <c r="R43" s="16"/>
      <c r="S43" s="19"/>
      <c r="T43" s="16"/>
      <c r="U43" s="19"/>
      <c r="V43" s="2">
        <v>6.73</v>
      </c>
      <c r="W43" s="3"/>
      <c r="X43" s="2">
        <v>6.66</v>
      </c>
      <c r="Y43" s="3"/>
      <c r="Z43" s="4">
        <v>1.49</v>
      </c>
      <c r="AA43" s="5">
        <v>1.18</v>
      </c>
      <c r="AB43" s="2">
        <v>0.46</v>
      </c>
      <c r="AC43" s="3">
        <v>-4.24</v>
      </c>
      <c r="AD43" s="2">
        <v>13.56</v>
      </c>
      <c r="AE43" s="3">
        <v>8.34</v>
      </c>
      <c r="AF43" s="16"/>
      <c r="AG43" s="19"/>
      <c r="AH43" s="16"/>
      <c r="AI43" s="19"/>
      <c r="AJ43" s="16"/>
      <c r="AK43" s="19"/>
      <c r="AL43" s="16"/>
      <c r="AM43" s="19"/>
      <c r="AN43" s="1005">
        <v>14.56</v>
      </c>
      <c r="AO43" s="1006">
        <v>15.06</v>
      </c>
      <c r="AP43" s="22"/>
      <c r="AQ43" s="23"/>
      <c r="AR43" s="201">
        <v>2.5299999999999998</v>
      </c>
      <c r="AS43" s="263"/>
      <c r="AT43" s="16"/>
      <c r="AU43" s="19"/>
      <c r="AV43" s="28"/>
      <c r="AW43" s="30"/>
      <c r="AX43" s="16"/>
      <c r="AY43" s="19"/>
      <c r="AZ43" s="16"/>
      <c r="BA43" s="19"/>
    </row>
    <row r="44" spans="1:53" ht="15" thickBot="1" x14ac:dyDescent="0.35">
      <c r="A44" s="1106" t="s">
        <v>150</v>
      </c>
      <c r="B44" s="1110">
        <v>0.56000000000000005</v>
      </c>
      <c r="C44" s="1111"/>
      <c r="D44" s="829"/>
      <c r="E44" s="606"/>
      <c r="F44" s="1068">
        <v>-0.21</v>
      </c>
      <c r="G44" s="60">
        <v>-0.43</v>
      </c>
      <c r="H44" s="829"/>
      <c r="I44" s="606"/>
      <c r="J44" s="59">
        <v>0.52</v>
      </c>
      <c r="K44" s="60">
        <v>1.05</v>
      </c>
      <c r="L44" s="55"/>
      <c r="M44" s="56"/>
      <c r="N44" s="59">
        <v>2.48</v>
      </c>
      <c r="O44" s="60"/>
      <c r="P44" s="59">
        <v>-7.54</v>
      </c>
      <c r="Q44" s="60">
        <v>-5.07</v>
      </c>
      <c r="R44" s="55"/>
      <c r="S44" s="56"/>
      <c r="T44" s="55"/>
      <c r="U44" s="56"/>
      <c r="V44" s="59">
        <v>6.73</v>
      </c>
      <c r="W44" s="60"/>
      <c r="X44" s="59">
        <v>6.65</v>
      </c>
      <c r="Y44" s="60"/>
      <c r="Z44" s="798">
        <v>1.49</v>
      </c>
      <c r="AA44" s="799">
        <v>1.18</v>
      </c>
      <c r="AB44" s="59">
        <v>0.46</v>
      </c>
      <c r="AC44" s="60">
        <v>-4.24</v>
      </c>
      <c r="AD44" s="1065">
        <v>13.56</v>
      </c>
      <c r="AE44" s="1066">
        <v>8.34</v>
      </c>
      <c r="AF44" s="55"/>
      <c r="AG44" s="56"/>
      <c r="AH44" s="55"/>
      <c r="AI44" s="56"/>
      <c r="AJ44" s="55"/>
      <c r="AK44" s="56"/>
      <c r="AL44" s="205"/>
      <c r="AM44" s="206"/>
      <c r="AN44" s="1007">
        <v>14.55</v>
      </c>
      <c r="AO44" s="1008">
        <v>15.04</v>
      </c>
      <c r="AP44" s="57"/>
      <c r="AQ44" s="58"/>
      <c r="AR44" s="266">
        <v>2.5299999999999998</v>
      </c>
      <c r="AS44" s="267"/>
      <c r="AT44" s="55"/>
      <c r="AU44" s="56"/>
      <c r="AV44" s="55"/>
      <c r="AW44" s="56"/>
      <c r="AX44" s="55"/>
      <c r="AY44" s="56"/>
      <c r="AZ44" s="205"/>
      <c r="BA44" s="206"/>
    </row>
  </sheetData>
  <mergeCells count="29">
    <mergeCell ref="X3:Y3"/>
    <mergeCell ref="D3:E3"/>
    <mergeCell ref="F3:G3"/>
    <mergeCell ref="H3:I3"/>
    <mergeCell ref="J3:K3"/>
    <mergeCell ref="L3:M3"/>
    <mergeCell ref="A1:AY1"/>
    <mergeCell ref="A2:AY2"/>
    <mergeCell ref="A3:A4"/>
    <mergeCell ref="AL3:AM3"/>
    <mergeCell ref="B3:C3"/>
    <mergeCell ref="AV3:AW3"/>
    <mergeCell ref="N3:O3"/>
    <mergeCell ref="Z3:AA3"/>
    <mergeCell ref="AB3:AC3"/>
    <mergeCell ref="AD3:AE3"/>
    <mergeCell ref="AF3:AG3"/>
    <mergeCell ref="AH3:AI3"/>
    <mergeCell ref="P3:Q3"/>
    <mergeCell ref="R3:S3"/>
    <mergeCell ref="T3:U3"/>
    <mergeCell ref="V3:W3"/>
    <mergeCell ref="AZ3:BA3"/>
    <mergeCell ref="AX3:AY3"/>
    <mergeCell ref="AJ3:AK3"/>
    <mergeCell ref="AN3:AO3"/>
    <mergeCell ref="AP3:AQ3"/>
    <mergeCell ref="AR3:AS3"/>
    <mergeCell ref="AT3:AU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BA71"/>
  <sheetViews>
    <sheetView topLeftCell="A58" workbookViewId="0">
      <pane xSplit="1" topLeftCell="AT1" activePane="topRight" state="frozen"/>
      <selection pane="topRight" sqref="A1:IV65536"/>
    </sheetView>
  </sheetViews>
  <sheetFormatPr defaultRowHeight="15" x14ac:dyDescent="0.25"/>
  <cols>
    <col min="1" max="1" width="59.28515625" bestFit="1" customWidth="1"/>
    <col min="2" max="3" width="11" bestFit="1" customWidth="1"/>
    <col min="4" max="4" width="11.28515625" bestFit="1" customWidth="1"/>
    <col min="5" max="5" width="12.5703125" bestFit="1" customWidth="1"/>
    <col min="6" max="6" width="14.28515625" bestFit="1" customWidth="1"/>
    <col min="7" max="7" width="12.5703125" bestFit="1" customWidth="1"/>
    <col min="8" max="8" width="14.28515625" bestFit="1" customWidth="1"/>
    <col min="9" max="9" width="12.5703125" bestFit="1" customWidth="1"/>
    <col min="10" max="10" width="14.28515625" bestFit="1" customWidth="1"/>
    <col min="11" max="11" width="11" bestFit="1" customWidth="1"/>
    <col min="12" max="12" width="14.28515625" bestFit="1" customWidth="1"/>
    <col min="13" max="13" width="12.5703125" bestFit="1" customWidth="1"/>
    <col min="14" max="14" width="12.85546875" bestFit="1" customWidth="1"/>
    <col min="15" max="15" width="12.5703125" bestFit="1" customWidth="1"/>
    <col min="16" max="16" width="12.85546875" bestFit="1" customWidth="1"/>
    <col min="17" max="17" width="12.5703125" bestFit="1" customWidth="1"/>
    <col min="18" max="18" width="14.28515625" bestFit="1" customWidth="1"/>
    <col min="19" max="19" width="11" bestFit="1" customWidth="1"/>
    <col min="20" max="20" width="12.85546875" bestFit="1" customWidth="1"/>
    <col min="21" max="21" width="12.5703125" bestFit="1" customWidth="1"/>
    <col min="22" max="22" width="15.5703125" bestFit="1" customWidth="1"/>
    <col min="23" max="23" width="11.5703125" bestFit="1" customWidth="1"/>
    <col min="24" max="24" width="15.5703125" bestFit="1" customWidth="1"/>
    <col min="25" max="25" width="12.5703125" bestFit="1" customWidth="1"/>
    <col min="26" max="26" width="14.28515625" bestFit="1" customWidth="1"/>
    <col min="27" max="27" width="12.5703125" bestFit="1" customWidth="1"/>
    <col min="28" max="28" width="15.5703125" bestFit="1" customWidth="1"/>
    <col min="29" max="29" width="12.5703125" bestFit="1" customWidth="1"/>
    <col min="30" max="30" width="14.28515625" bestFit="1" customWidth="1"/>
    <col min="31" max="31" width="12.5703125" bestFit="1" customWidth="1"/>
    <col min="32" max="32" width="14.28515625" bestFit="1" customWidth="1"/>
    <col min="33" max="33" width="12.5703125" bestFit="1" customWidth="1"/>
    <col min="34" max="34" width="11" bestFit="1" customWidth="1"/>
    <col min="35" max="35" width="12.5703125" bestFit="1" customWidth="1"/>
    <col min="36" max="36" width="14.28515625" bestFit="1" customWidth="1"/>
    <col min="37" max="39" width="12.5703125" bestFit="1" customWidth="1"/>
    <col min="40" max="40" width="15.5703125" bestFit="1" customWidth="1"/>
    <col min="41" max="41" width="12.5703125" bestFit="1" customWidth="1"/>
    <col min="42" max="42" width="12.85546875" bestFit="1" customWidth="1"/>
    <col min="43" max="43" width="11" bestFit="1" customWidth="1"/>
    <col min="44" max="44" width="14.28515625" bestFit="1" customWidth="1"/>
    <col min="45" max="45" width="12.5703125" bestFit="1" customWidth="1"/>
    <col min="46" max="46" width="14.28515625" bestFit="1" customWidth="1"/>
    <col min="47" max="47" width="12.5703125" bestFit="1" customWidth="1"/>
    <col min="48" max="48" width="15.5703125" bestFit="1" customWidth="1"/>
    <col min="49" max="49" width="14.28515625" bestFit="1" customWidth="1"/>
    <col min="50" max="53" width="15.5703125" bestFit="1" customWidth="1"/>
  </cols>
  <sheetData>
    <row r="1" spans="1:53" ht="40.5" customHeight="1" thickBot="1" x14ac:dyDescent="0.5">
      <c r="A1" s="811" t="s">
        <v>430</v>
      </c>
      <c r="B1" s="1312" t="s">
        <v>158</v>
      </c>
      <c r="C1" s="1313"/>
      <c r="D1" s="1320" t="s">
        <v>313</v>
      </c>
      <c r="E1" s="1321"/>
      <c r="F1" s="1320" t="s">
        <v>160</v>
      </c>
      <c r="G1" s="1321"/>
      <c r="H1" s="1320" t="s">
        <v>161</v>
      </c>
      <c r="I1" s="1321"/>
      <c r="J1" s="1320" t="s">
        <v>314</v>
      </c>
      <c r="K1" s="1321"/>
      <c r="L1" s="1320" t="s">
        <v>163</v>
      </c>
      <c r="M1" s="1321"/>
      <c r="N1" s="1320" t="s">
        <v>312</v>
      </c>
      <c r="O1" s="1321"/>
      <c r="P1" s="1320" t="s">
        <v>180</v>
      </c>
      <c r="Q1" s="1321"/>
      <c r="R1" s="1320" t="s">
        <v>315</v>
      </c>
      <c r="S1" s="1321"/>
      <c r="T1" s="1320" t="s">
        <v>316</v>
      </c>
      <c r="U1" s="1321"/>
      <c r="V1" s="1320" t="s">
        <v>317</v>
      </c>
      <c r="W1" s="1321"/>
      <c r="X1" s="1320" t="s">
        <v>318</v>
      </c>
      <c r="Y1" s="1321"/>
      <c r="Z1" s="1320" t="s">
        <v>384</v>
      </c>
      <c r="AA1" s="1321"/>
      <c r="AB1" s="1320" t="s">
        <v>169</v>
      </c>
      <c r="AC1" s="1321"/>
      <c r="AD1" s="1320" t="s">
        <v>170</v>
      </c>
      <c r="AE1" s="1321"/>
      <c r="AF1" s="1320" t="s">
        <v>171</v>
      </c>
      <c r="AG1" s="1321"/>
      <c r="AH1" s="1320" t="s">
        <v>311</v>
      </c>
      <c r="AI1" s="1321"/>
      <c r="AJ1" s="1320" t="s">
        <v>173</v>
      </c>
      <c r="AK1" s="1321"/>
      <c r="AL1" s="1320" t="s">
        <v>174</v>
      </c>
      <c r="AM1" s="1321"/>
      <c r="AN1" s="1320" t="s">
        <v>175</v>
      </c>
      <c r="AO1" s="1321"/>
      <c r="AP1" s="1320" t="s">
        <v>176</v>
      </c>
      <c r="AQ1" s="1321"/>
      <c r="AR1" s="1320" t="s">
        <v>319</v>
      </c>
      <c r="AS1" s="1321"/>
      <c r="AT1" s="1320" t="s">
        <v>178</v>
      </c>
      <c r="AU1" s="1322"/>
      <c r="AV1" s="1325" t="s">
        <v>1</v>
      </c>
      <c r="AW1" s="1326"/>
      <c r="AX1" s="1322" t="s">
        <v>179</v>
      </c>
      <c r="AY1" s="1321"/>
      <c r="AZ1" s="1323" t="s">
        <v>2</v>
      </c>
      <c r="BA1" s="1324"/>
    </row>
    <row r="2" spans="1:53" ht="41.25" thickBot="1" x14ac:dyDescent="0.4">
      <c r="A2" s="812" t="s">
        <v>0</v>
      </c>
      <c r="B2" s="503" t="s">
        <v>381</v>
      </c>
      <c r="C2" s="503" t="s">
        <v>438</v>
      </c>
      <c r="D2" s="503" t="s">
        <v>381</v>
      </c>
      <c r="E2" s="503" t="s">
        <v>438</v>
      </c>
      <c r="F2" s="503" t="s">
        <v>381</v>
      </c>
      <c r="G2" s="503" t="s">
        <v>438</v>
      </c>
      <c r="H2" s="503" t="s">
        <v>381</v>
      </c>
      <c r="I2" s="503" t="s">
        <v>438</v>
      </c>
      <c r="J2" s="503" t="s">
        <v>381</v>
      </c>
      <c r="K2" s="993" t="s">
        <v>438</v>
      </c>
      <c r="L2" s="503" t="s">
        <v>381</v>
      </c>
      <c r="M2" s="503" t="s">
        <v>438</v>
      </c>
      <c r="N2" s="503" t="s">
        <v>381</v>
      </c>
      <c r="O2" s="503" t="s">
        <v>438</v>
      </c>
      <c r="P2" s="503" t="s">
        <v>381</v>
      </c>
      <c r="Q2" s="503" t="s">
        <v>438</v>
      </c>
      <c r="R2" s="503" t="s">
        <v>381</v>
      </c>
      <c r="S2" s="503" t="s">
        <v>438</v>
      </c>
      <c r="T2" s="503" t="s">
        <v>381</v>
      </c>
      <c r="U2" s="993" t="s">
        <v>438</v>
      </c>
      <c r="V2" s="503" t="s">
        <v>381</v>
      </c>
      <c r="W2" s="503" t="s">
        <v>438</v>
      </c>
      <c r="X2" s="503" t="s">
        <v>381</v>
      </c>
      <c r="Y2" s="503" t="s">
        <v>438</v>
      </c>
      <c r="Z2" s="503" t="s">
        <v>381</v>
      </c>
      <c r="AA2" s="503" t="s">
        <v>438</v>
      </c>
      <c r="AB2" s="503" t="s">
        <v>381</v>
      </c>
      <c r="AC2" s="503" t="s">
        <v>438</v>
      </c>
      <c r="AD2" s="503" t="s">
        <v>381</v>
      </c>
      <c r="AE2" s="503" t="s">
        <v>438</v>
      </c>
      <c r="AF2" s="503" t="s">
        <v>381</v>
      </c>
      <c r="AG2" s="503" t="s">
        <v>438</v>
      </c>
      <c r="AH2" s="503" t="s">
        <v>381</v>
      </c>
      <c r="AI2" s="503" t="s">
        <v>438</v>
      </c>
      <c r="AJ2" s="503" t="s">
        <v>381</v>
      </c>
      <c r="AK2" s="503" t="s">
        <v>438</v>
      </c>
      <c r="AL2" s="503" t="s">
        <v>381</v>
      </c>
      <c r="AM2" s="503" t="s">
        <v>438</v>
      </c>
      <c r="AN2" s="503" t="s">
        <v>381</v>
      </c>
      <c r="AO2" s="503" t="s">
        <v>438</v>
      </c>
      <c r="AP2" s="503" t="s">
        <v>381</v>
      </c>
      <c r="AQ2" s="503" t="s">
        <v>438</v>
      </c>
      <c r="AR2" s="503" t="s">
        <v>381</v>
      </c>
      <c r="AS2" s="503" t="s">
        <v>438</v>
      </c>
      <c r="AT2" s="503" t="s">
        <v>381</v>
      </c>
      <c r="AU2" s="503" t="s">
        <v>438</v>
      </c>
      <c r="AV2" s="503" t="s">
        <v>381</v>
      </c>
      <c r="AW2" s="503" t="s">
        <v>438</v>
      </c>
      <c r="AX2" s="503" t="s">
        <v>381</v>
      </c>
      <c r="AY2" s="503" t="s">
        <v>438</v>
      </c>
      <c r="AZ2" s="503" t="s">
        <v>381</v>
      </c>
      <c r="BA2" s="503" t="s">
        <v>438</v>
      </c>
    </row>
    <row r="3" spans="1:53" ht="16.5" x14ac:dyDescent="0.3">
      <c r="A3" s="160" t="s">
        <v>320</v>
      </c>
      <c r="B3" s="160"/>
      <c r="C3" s="814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  <c r="O3" s="815"/>
      <c r="P3" s="815"/>
      <c r="Q3" s="815"/>
      <c r="R3" s="815"/>
      <c r="S3" s="815"/>
      <c r="T3" s="815"/>
      <c r="U3" s="815"/>
      <c r="V3" s="815"/>
      <c r="W3" s="815"/>
      <c r="X3" s="815"/>
      <c r="Y3" s="815"/>
      <c r="Z3" s="815"/>
      <c r="AA3" s="815"/>
      <c r="AB3" s="815"/>
      <c r="AC3" s="815"/>
      <c r="AD3" s="815"/>
      <c r="AE3" s="815"/>
      <c r="AF3" s="815"/>
      <c r="AG3" s="815"/>
      <c r="AH3" s="815"/>
      <c r="AI3" s="815"/>
      <c r="AJ3" s="815"/>
      <c r="AK3" s="815"/>
      <c r="AL3" s="815"/>
      <c r="AM3" s="815"/>
      <c r="AN3" s="815"/>
      <c r="AO3" s="815"/>
      <c r="AP3" s="815"/>
      <c r="AQ3" s="815"/>
      <c r="AR3" s="815"/>
      <c r="AS3" s="815"/>
      <c r="AT3" s="815"/>
      <c r="AU3" s="816"/>
      <c r="AV3" s="1120"/>
      <c r="AW3" s="1121"/>
      <c r="AX3" s="816"/>
      <c r="AY3" s="814"/>
      <c r="AZ3" s="814"/>
      <c r="BA3" s="814"/>
    </row>
    <row r="4" spans="1:53" ht="16.5" x14ac:dyDescent="0.3">
      <c r="A4" s="96" t="s">
        <v>321</v>
      </c>
      <c r="B4" s="96"/>
      <c r="C4" s="682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681"/>
      <c r="R4" s="681"/>
      <c r="S4" s="681"/>
      <c r="T4" s="681"/>
      <c r="U4" s="681"/>
      <c r="V4" s="681"/>
      <c r="W4" s="681"/>
      <c r="X4" s="681"/>
      <c r="Y4" s="681"/>
      <c r="Z4" s="681"/>
      <c r="AA4" s="681"/>
      <c r="AB4" s="681"/>
      <c r="AC4" s="681"/>
      <c r="AD4" s="681"/>
      <c r="AE4" s="681"/>
      <c r="AF4" s="681"/>
      <c r="AG4" s="681"/>
      <c r="AH4" s="681"/>
      <c r="AI4" s="681"/>
      <c r="AJ4" s="681"/>
      <c r="AK4" s="681"/>
      <c r="AL4" s="681"/>
      <c r="AM4" s="681"/>
      <c r="AN4" s="681"/>
      <c r="AO4" s="681"/>
      <c r="AP4" s="681"/>
      <c r="AQ4" s="681"/>
      <c r="AR4" s="681"/>
      <c r="AS4" s="681"/>
      <c r="AT4" s="681"/>
      <c r="AU4" s="687"/>
      <c r="AV4" s="1018"/>
      <c r="AW4" s="1019"/>
      <c r="AX4" s="816"/>
      <c r="AY4" s="682"/>
      <c r="AZ4" s="682"/>
      <c r="BA4" s="682"/>
    </row>
    <row r="5" spans="1:53" ht="16.5" x14ac:dyDescent="0.3">
      <c r="A5" s="96" t="s">
        <v>322</v>
      </c>
      <c r="B5" s="96">
        <v>190121</v>
      </c>
      <c r="C5" s="817">
        <v>190121</v>
      </c>
      <c r="D5" s="688">
        <v>146825.20000000001</v>
      </c>
      <c r="E5" s="681">
        <v>147773</v>
      </c>
      <c r="F5" s="681">
        <v>200490</v>
      </c>
      <c r="G5" s="681">
        <v>200490</v>
      </c>
      <c r="H5" s="681">
        <f>I5</f>
        <v>15071</v>
      </c>
      <c r="I5" s="681">
        <v>15071</v>
      </c>
      <c r="J5" s="681">
        <v>308620.09999999998</v>
      </c>
      <c r="K5" s="681">
        <v>342620</v>
      </c>
      <c r="L5" s="681">
        <f>M5</f>
        <v>95000</v>
      </c>
      <c r="M5" s="681">
        <v>95000</v>
      </c>
      <c r="N5" s="681">
        <f>O5</f>
        <v>37406</v>
      </c>
      <c r="O5" s="681">
        <v>37406</v>
      </c>
      <c r="P5" s="681">
        <v>31262</v>
      </c>
      <c r="Q5" s="681">
        <v>66555</v>
      </c>
      <c r="R5" s="681">
        <f>S5</f>
        <v>185000</v>
      </c>
      <c r="S5" s="681">
        <v>185000</v>
      </c>
      <c r="T5" s="681">
        <v>196582.1</v>
      </c>
      <c r="U5" s="681">
        <v>214582</v>
      </c>
      <c r="V5" s="681">
        <v>202094.4</v>
      </c>
      <c r="W5" s="681">
        <v>211262</v>
      </c>
      <c r="X5" s="681">
        <v>143597.42000000001</v>
      </c>
      <c r="Y5" s="681">
        <v>143731</v>
      </c>
      <c r="Z5" s="681">
        <f>AA5</f>
        <v>80000</v>
      </c>
      <c r="AA5" s="681">
        <v>80000</v>
      </c>
      <c r="AB5" s="681">
        <v>66346.149999999994</v>
      </c>
      <c r="AC5" s="681">
        <v>66346</v>
      </c>
      <c r="AD5" s="681">
        <f>AE5</f>
        <v>51029</v>
      </c>
      <c r="AE5" s="681">
        <v>51029</v>
      </c>
      <c r="AF5" s="681">
        <v>191881.29</v>
      </c>
      <c r="AG5" s="681">
        <v>191881</v>
      </c>
      <c r="AH5" s="681">
        <v>201288</v>
      </c>
      <c r="AI5" s="681">
        <v>201288</v>
      </c>
      <c r="AJ5" s="681">
        <v>119632.35</v>
      </c>
      <c r="AK5" s="681">
        <v>119632</v>
      </c>
      <c r="AL5" s="681"/>
      <c r="AM5" s="681"/>
      <c r="AN5" s="681">
        <v>100007.09</v>
      </c>
      <c r="AO5" s="681">
        <v>100037</v>
      </c>
      <c r="AP5" s="681">
        <v>17638.97</v>
      </c>
      <c r="AQ5" s="681">
        <v>17765</v>
      </c>
      <c r="AR5" s="681">
        <f>AS5</f>
        <v>25896</v>
      </c>
      <c r="AS5" s="681">
        <v>25896</v>
      </c>
      <c r="AT5" s="681">
        <f>AU5</f>
        <v>195350</v>
      </c>
      <c r="AU5" s="687">
        <v>195350</v>
      </c>
      <c r="AV5" s="1018">
        <f t="shared" ref="AV5:AW36" si="0">SUM(B5+D5+F5+H5+J5+L5+N5+P5+R5+T5+V5+X5+Z5+AB5+AD5+AF5+AH5+AJ5+AL5+AN5+AP5+AR5+AT5)</f>
        <v>2801138.07</v>
      </c>
      <c r="AW5" s="1019">
        <f t="shared" si="0"/>
        <v>2898835</v>
      </c>
      <c r="AX5" s="687">
        <v>10000</v>
      </c>
      <c r="AY5" s="682">
        <v>632499</v>
      </c>
      <c r="AZ5" s="682">
        <f t="shared" ref="AZ5:BA68" si="1">AV5+AX5</f>
        <v>2811138.07</v>
      </c>
      <c r="BA5" s="682">
        <f t="shared" si="1"/>
        <v>3531334</v>
      </c>
    </row>
    <row r="6" spans="1:53" ht="16.5" x14ac:dyDescent="0.3">
      <c r="A6" s="96" t="s">
        <v>323</v>
      </c>
      <c r="B6" s="96"/>
      <c r="C6" s="817"/>
      <c r="D6" s="688"/>
      <c r="E6" s="681"/>
      <c r="F6" s="681"/>
      <c r="G6" s="681"/>
      <c r="H6" s="681"/>
      <c r="I6" s="681"/>
      <c r="J6" s="681"/>
      <c r="K6" s="681"/>
      <c r="L6" s="681"/>
      <c r="M6" s="681"/>
      <c r="N6" s="681"/>
      <c r="O6" s="681"/>
      <c r="P6" s="681"/>
      <c r="Q6" s="681"/>
      <c r="R6" s="681"/>
      <c r="S6" s="681"/>
      <c r="T6" s="681"/>
      <c r="U6" s="681"/>
      <c r="V6" s="681">
        <v>197.11</v>
      </c>
      <c r="W6" s="681">
        <v>332</v>
      </c>
      <c r="X6" s="681"/>
      <c r="Y6" s="681"/>
      <c r="Z6" s="681"/>
      <c r="AA6" s="681"/>
      <c r="AB6" s="681"/>
      <c r="AC6" s="681"/>
      <c r="AD6" s="681"/>
      <c r="AE6" s="681"/>
      <c r="AF6" s="681"/>
      <c r="AG6" s="681"/>
      <c r="AH6" s="681"/>
      <c r="AI6" s="681"/>
      <c r="AJ6" s="681"/>
      <c r="AK6" s="681"/>
      <c r="AL6" s="681"/>
      <c r="AM6" s="681"/>
      <c r="AN6" s="681"/>
      <c r="AO6" s="681"/>
      <c r="AP6" s="681"/>
      <c r="AQ6" s="681"/>
      <c r="AR6" s="681"/>
      <c r="AS6" s="681"/>
      <c r="AT6" s="681"/>
      <c r="AU6" s="687"/>
      <c r="AV6" s="1018">
        <f t="shared" si="0"/>
        <v>197.11</v>
      </c>
      <c r="AW6" s="1019">
        <f t="shared" si="0"/>
        <v>332</v>
      </c>
      <c r="AX6" s="687"/>
      <c r="AY6" s="682"/>
      <c r="AZ6" s="682">
        <f t="shared" si="1"/>
        <v>197.11</v>
      </c>
      <c r="BA6" s="682">
        <f t="shared" si="1"/>
        <v>332</v>
      </c>
    </row>
    <row r="7" spans="1:53" ht="16.5" x14ac:dyDescent="0.3">
      <c r="A7" s="96" t="s">
        <v>324</v>
      </c>
      <c r="B7" s="96">
        <v>44151</v>
      </c>
      <c r="C7" s="817">
        <v>60082</v>
      </c>
      <c r="D7" s="688">
        <v>89617.05</v>
      </c>
      <c r="E7" s="681">
        <v>135593</v>
      </c>
      <c r="F7" s="681"/>
      <c r="G7" s="681"/>
      <c r="H7" s="681">
        <v>1019057.22</v>
      </c>
      <c r="I7" s="681">
        <v>1037609</v>
      </c>
      <c r="J7" s="681">
        <v>21675.48</v>
      </c>
      <c r="K7" s="681">
        <v>21201</v>
      </c>
      <c r="L7" s="681">
        <v>33012.730000000003</v>
      </c>
      <c r="M7" s="681">
        <v>34037</v>
      </c>
      <c r="N7" s="681">
        <v>83292.17</v>
      </c>
      <c r="O7" s="681">
        <v>83292</v>
      </c>
      <c r="P7" s="681">
        <v>168484.78</v>
      </c>
      <c r="Q7" s="681">
        <v>171391</v>
      </c>
      <c r="R7" s="681"/>
      <c r="S7" s="681"/>
      <c r="T7" s="681">
        <v>10000</v>
      </c>
      <c r="U7" s="681">
        <v>10000</v>
      </c>
      <c r="V7" s="681">
        <v>640736.9</v>
      </c>
      <c r="W7" s="681">
        <v>1328517</v>
      </c>
      <c r="X7" s="681">
        <v>705696.44</v>
      </c>
      <c r="Y7" s="681">
        <v>758646</v>
      </c>
      <c r="Z7" s="681">
        <v>23860.71</v>
      </c>
      <c r="AA7" s="681">
        <v>22895</v>
      </c>
      <c r="AB7" s="681">
        <v>28000</v>
      </c>
      <c r="AC7" s="681">
        <v>28000</v>
      </c>
      <c r="AD7" s="681">
        <v>353518.08000000002</v>
      </c>
      <c r="AE7" s="681">
        <v>387892</v>
      </c>
      <c r="AF7" s="681">
        <v>105890.85</v>
      </c>
      <c r="AG7" s="681">
        <v>127595</v>
      </c>
      <c r="AH7" s="681">
        <v>440</v>
      </c>
      <c r="AI7" s="681">
        <v>432</v>
      </c>
      <c r="AJ7" s="681">
        <v>30315.919999999998</v>
      </c>
      <c r="AK7" s="681">
        <v>30316</v>
      </c>
      <c r="AL7" s="681"/>
      <c r="AM7" s="681"/>
      <c r="AN7" s="681">
        <v>909264.18</v>
      </c>
      <c r="AO7" s="681">
        <v>1041807</v>
      </c>
      <c r="AP7" s="681">
        <v>54862.65</v>
      </c>
      <c r="AQ7" s="681">
        <v>50863</v>
      </c>
      <c r="AR7" s="681">
        <v>46202.13</v>
      </c>
      <c r="AS7" s="681">
        <v>47498</v>
      </c>
      <c r="AT7" s="681">
        <v>20723.79</v>
      </c>
      <c r="AU7" s="687">
        <v>31065</v>
      </c>
      <c r="AV7" s="1018">
        <f t="shared" si="0"/>
        <v>4388802.08</v>
      </c>
      <c r="AW7" s="1019">
        <f t="shared" si="0"/>
        <v>5408731</v>
      </c>
      <c r="AX7" s="687">
        <v>622499.77</v>
      </c>
      <c r="AY7" s="682">
        <v>404304</v>
      </c>
      <c r="AZ7" s="682">
        <f t="shared" si="1"/>
        <v>5011301.8499999996</v>
      </c>
      <c r="BA7" s="682">
        <f t="shared" si="1"/>
        <v>5813035</v>
      </c>
    </row>
    <row r="8" spans="1:53" ht="16.5" x14ac:dyDescent="0.3">
      <c r="A8" s="96" t="s">
        <v>325</v>
      </c>
      <c r="B8" s="96">
        <v>5552</v>
      </c>
      <c r="C8" s="817">
        <v>4660</v>
      </c>
      <c r="D8" s="688"/>
      <c r="E8" s="681"/>
      <c r="F8" s="681">
        <v>106.69</v>
      </c>
      <c r="G8" s="681"/>
      <c r="H8" s="681">
        <v>39417.230000000003</v>
      </c>
      <c r="I8" s="681">
        <v>41201</v>
      </c>
      <c r="J8" s="681">
        <v>269.49</v>
      </c>
      <c r="K8" s="681">
        <v>132</v>
      </c>
      <c r="L8" s="681">
        <v>-576.96</v>
      </c>
      <c r="M8" s="681"/>
      <c r="N8" s="681">
        <v>125.24</v>
      </c>
      <c r="O8" s="681">
        <v>504</v>
      </c>
      <c r="P8" s="681">
        <v>1395.19</v>
      </c>
      <c r="Q8" s="681">
        <v>1634</v>
      </c>
      <c r="R8" s="681">
        <v>485</v>
      </c>
      <c r="S8" s="681"/>
      <c r="T8" s="681">
        <v>-42</v>
      </c>
      <c r="U8" s="681">
        <v>26</v>
      </c>
      <c r="V8" s="681">
        <v>20743.759999999998</v>
      </c>
      <c r="W8" s="681">
        <v>8480</v>
      </c>
      <c r="X8" s="681">
        <v>61576.92</v>
      </c>
      <c r="Y8" s="681">
        <v>13421</v>
      </c>
      <c r="Z8" s="681">
        <v>194.62</v>
      </c>
      <c r="AA8" s="681">
        <v>273</v>
      </c>
      <c r="AB8" s="681">
        <v>115.61</v>
      </c>
      <c r="AC8" s="681">
        <v>52</v>
      </c>
      <c r="AD8" s="681">
        <v>-47.68</v>
      </c>
      <c r="AE8" s="681">
        <v>46</v>
      </c>
      <c r="AF8" s="681">
        <v>3013.37</v>
      </c>
      <c r="AG8" s="681">
        <v>110</v>
      </c>
      <c r="AH8" s="681"/>
      <c r="AI8" s="681"/>
      <c r="AJ8" s="681">
        <v>1936.5</v>
      </c>
      <c r="AK8" s="681">
        <v>3838</v>
      </c>
      <c r="AL8" s="681"/>
      <c r="AM8" s="681"/>
      <c r="AN8" s="681">
        <v>30772.37</v>
      </c>
      <c r="AO8" s="681">
        <v>20387</v>
      </c>
      <c r="AP8" s="681">
        <v>2903.79</v>
      </c>
      <c r="AQ8" s="681">
        <v>1450</v>
      </c>
      <c r="AR8" s="681">
        <v>-56.5</v>
      </c>
      <c r="AS8" s="681">
        <v>231</v>
      </c>
      <c r="AT8" s="681"/>
      <c r="AU8" s="687"/>
      <c r="AV8" s="1018">
        <f t="shared" si="0"/>
        <v>167884.64</v>
      </c>
      <c r="AW8" s="1019">
        <f t="shared" si="0"/>
        <v>96445</v>
      </c>
      <c r="AX8" s="687">
        <v>3569.45</v>
      </c>
      <c r="AY8" s="682">
        <v>4109</v>
      </c>
      <c r="AZ8" s="682">
        <f t="shared" si="1"/>
        <v>171454.09000000003</v>
      </c>
      <c r="BA8" s="682">
        <f t="shared" si="1"/>
        <v>100554</v>
      </c>
    </row>
    <row r="9" spans="1:53" ht="16.5" x14ac:dyDescent="0.3">
      <c r="A9" s="96" t="s">
        <v>326</v>
      </c>
      <c r="B9" s="96"/>
      <c r="C9" s="817"/>
      <c r="D9" s="688"/>
      <c r="E9" s="681"/>
      <c r="F9" s="681"/>
      <c r="G9" s="681"/>
      <c r="H9" s="681"/>
      <c r="I9" s="681"/>
      <c r="J9" s="681"/>
      <c r="K9" s="681"/>
      <c r="L9" s="681"/>
      <c r="M9" s="681"/>
      <c r="N9" s="681"/>
      <c r="O9" s="681"/>
      <c r="P9" s="681"/>
      <c r="Q9" s="681"/>
      <c r="R9" s="681"/>
      <c r="S9" s="681"/>
      <c r="T9" s="681"/>
      <c r="U9" s="681"/>
      <c r="V9" s="681"/>
      <c r="W9" s="681"/>
      <c r="X9" s="681">
        <v>7.0000000000000007E-2</v>
      </c>
      <c r="Y9" s="681"/>
      <c r="Z9" s="681"/>
      <c r="AA9" s="681"/>
      <c r="AB9" s="681"/>
      <c r="AC9" s="681"/>
      <c r="AD9" s="681"/>
      <c r="AE9" s="681"/>
      <c r="AF9" s="681"/>
      <c r="AG9" s="681"/>
      <c r="AH9" s="681"/>
      <c r="AI9" s="681"/>
      <c r="AJ9" s="681"/>
      <c r="AK9" s="681"/>
      <c r="AL9" s="681"/>
      <c r="AM9" s="681"/>
      <c r="AN9" s="681"/>
      <c r="AO9" s="681"/>
      <c r="AP9" s="681"/>
      <c r="AQ9" s="681"/>
      <c r="AR9" s="681"/>
      <c r="AS9" s="681"/>
      <c r="AT9" s="681"/>
      <c r="AU9" s="687"/>
      <c r="AV9" s="1018">
        <f t="shared" si="0"/>
        <v>7.0000000000000007E-2</v>
      </c>
      <c r="AW9" s="1019">
        <f t="shared" si="0"/>
        <v>0</v>
      </c>
      <c r="AX9" s="687"/>
      <c r="AY9" s="682"/>
      <c r="AZ9" s="682">
        <f t="shared" si="1"/>
        <v>7.0000000000000007E-2</v>
      </c>
      <c r="BA9" s="682">
        <f t="shared" si="1"/>
        <v>0</v>
      </c>
    </row>
    <row r="10" spans="1:53" ht="18" x14ac:dyDescent="0.35">
      <c r="A10" s="123" t="s">
        <v>327</v>
      </c>
      <c r="B10" s="123">
        <v>239824</v>
      </c>
      <c r="C10" s="818">
        <f t="shared" ref="C10:W10" si="2">SUM(C5:C8)</f>
        <v>254863</v>
      </c>
      <c r="D10" s="819">
        <v>236442.25</v>
      </c>
      <c r="E10" s="819">
        <f t="shared" si="2"/>
        <v>283366</v>
      </c>
      <c r="F10" s="819">
        <v>200596.69</v>
      </c>
      <c r="G10" s="819">
        <f t="shared" si="2"/>
        <v>200490</v>
      </c>
      <c r="H10" s="819">
        <v>1073545.3500000001</v>
      </c>
      <c r="I10" s="819">
        <f t="shared" si="2"/>
        <v>1093881</v>
      </c>
      <c r="J10" s="819">
        <v>330565.07</v>
      </c>
      <c r="K10" s="819">
        <f t="shared" si="2"/>
        <v>363953</v>
      </c>
      <c r="L10" s="819">
        <v>127435.77</v>
      </c>
      <c r="M10" s="819">
        <f t="shared" si="2"/>
        <v>129037</v>
      </c>
      <c r="N10" s="819">
        <v>120823.6</v>
      </c>
      <c r="O10" s="819">
        <f t="shared" si="2"/>
        <v>121202</v>
      </c>
      <c r="P10" s="819">
        <v>201142.06</v>
      </c>
      <c r="Q10" s="819">
        <f t="shared" si="2"/>
        <v>239580</v>
      </c>
      <c r="R10" s="819">
        <v>18500485</v>
      </c>
      <c r="S10" s="819">
        <f t="shared" si="2"/>
        <v>185000</v>
      </c>
      <c r="T10" s="819">
        <f t="shared" si="2"/>
        <v>206540.1</v>
      </c>
      <c r="U10" s="819">
        <f t="shared" si="2"/>
        <v>224608</v>
      </c>
      <c r="V10" s="819">
        <v>863772.17</v>
      </c>
      <c r="W10" s="819">
        <f t="shared" si="2"/>
        <v>1548591</v>
      </c>
      <c r="X10" s="819">
        <v>910926.28</v>
      </c>
      <c r="Y10" s="819">
        <f>SUM(Y5:Y9)</f>
        <v>915798</v>
      </c>
      <c r="Z10" s="819">
        <v>104055.33</v>
      </c>
      <c r="AA10" s="819">
        <f t="shared" ref="AA10:AU10" si="3">SUM(AA5:AA8)</f>
        <v>103168</v>
      </c>
      <c r="AB10" s="819">
        <v>64461.760000000002</v>
      </c>
      <c r="AC10" s="819">
        <f t="shared" si="3"/>
        <v>94398</v>
      </c>
      <c r="AD10" s="819">
        <v>404499.42</v>
      </c>
      <c r="AE10" s="819">
        <f t="shared" si="3"/>
        <v>438967</v>
      </c>
      <c r="AF10" s="819">
        <v>300785.51</v>
      </c>
      <c r="AG10" s="819">
        <f t="shared" si="3"/>
        <v>319586</v>
      </c>
      <c r="AH10" s="819">
        <v>202242</v>
      </c>
      <c r="AI10" s="819">
        <f t="shared" si="3"/>
        <v>201720</v>
      </c>
      <c r="AJ10" s="819">
        <v>151884.76999999999</v>
      </c>
      <c r="AK10" s="819">
        <f t="shared" si="3"/>
        <v>153786</v>
      </c>
      <c r="AL10" s="819"/>
      <c r="AM10" s="819">
        <f t="shared" si="3"/>
        <v>0</v>
      </c>
      <c r="AN10" s="819">
        <v>1040043.64</v>
      </c>
      <c r="AO10" s="819">
        <f t="shared" si="3"/>
        <v>1162231</v>
      </c>
      <c r="AP10" s="819">
        <v>75405.399999999994</v>
      </c>
      <c r="AQ10" s="819">
        <f t="shared" si="3"/>
        <v>70078</v>
      </c>
      <c r="AR10" s="819">
        <v>72042.039999999994</v>
      </c>
      <c r="AS10" s="819">
        <f t="shared" si="3"/>
        <v>73625</v>
      </c>
      <c r="AT10" s="819">
        <v>216073.79</v>
      </c>
      <c r="AU10" s="994">
        <f t="shared" si="3"/>
        <v>226415</v>
      </c>
      <c r="AV10" s="1018">
        <f t="shared" si="0"/>
        <v>25643592.000000004</v>
      </c>
      <c r="AW10" s="1019">
        <f t="shared" si="0"/>
        <v>8404343</v>
      </c>
      <c r="AX10" s="687">
        <f>SUM(AX5:AX9)</f>
        <v>636069.22</v>
      </c>
      <c r="AY10" s="820">
        <f>SUM(AY5:AY9)</f>
        <v>1040912</v>
      </c>
      <c r="AZ10" s="682">
        <f t="shared" si="1"/>
        <v>26279661.220000003</v>
      </c>
      <c r="BA10" s="682">
        <f t="shared" si="1"/>
        <v>9445255</v>
      </c>
    </row>
    <row r="11" spans="1:53" ht="16.5" x14ac:dyDescent="0.3">
      <c r="A11" s="96" t="s">
        <v>328</v>
      </c>
      <c r="B11" s="96">
        <v>15000</v>
      </c>
      <c r="C11" s="817">
        <v>50000</v>
      </c>
      <c r="D11" s="688">
        <f>E11</f>
        <v>7000</v>
      </c>
      <c r="E11" s="681">
        <v>7000</v>
      </c>
      <c r="F11" s="681"/>
      <c r="G11" s="681"/>
      <c r="H11" s="681"/>
      <c r="I11" s="681"/>
      <c r="J11" s="681"/>
      <c r="K11" s="681"/>
      <c r="L11" s="681"/>
      <c r="M11" s="681"/>
      <c r="N11" s="681"/>
      <c r="O11" s="681"/>
      <c r="P11" s="681"/>
      <c r="Q11" s="681"/>
      <c r="R11" s="681"/>
      <c r="S11" s="681"/>
      <c r="T11" s="681">
        <v>3000</v>
      </c>
      <c r="U11" s="681">
        <v>3000</v>
      </c>
      <c r="V11" s="681">
        <v>60000</v>
      </c>
      <c r="W11" s="681">
        <v>60000</v>
      </c>
      <c r="X11" s="681">
        <v>120000</v>
      </c>
      <c r="Y11" s="681">
        <v>120000</v>
      </c>
      <c r="Z11" s="681"/>
      <c r="AA11" s="681"/>
      <c r="AB11" s="681">
        <v>10000</v>
      </c>
      <c r="AC11" s="681">
        <v>22500</v>
      </c>
      <c r="AD11" s="681"/>
      <c r="AE11" s="681"/>
      <c r="AF11" s="681"/>
      <c r="AG11" s="681"/>
      <c r="AH11" s="681"/>
      <c r="AI11" s="681">
        <v>40000</v>
      </c>
      <c r="AJ11" s="681"/>
      <c r="AK11" s="681"/>
      <c r="AL11" s="681"/>
      <c r="AM11" s="681"/>
      <c r="AN11" s="681"/>
      <c r="AO11" s="681"/>
      <c r="AP11" s="681"/>
      <c r="AQ11" s="681"/>
      <c r="AR11" s="681"/>
      <c r="AS11" s="681">
        <v>12500</v>
      </c>
      <c r="AT11" s="681"/>
      <c r="AU11" s="687"/>
      <c r="AV11" s="1018">
        <f t="shared" si="0"/>
        <v>215000</v>
      </c>
      <c r="AW11" s="1019">
        <f t="shared" si="0"/>
        <v>315000</v>
      </c>
      <c r="AX11" s="687"/>
      <c r="AY11" s="682"/>
      <c r="AZ11" s="682">
        <f t="shared" si="1"/>
        <v>215000</v>
      </c>
      <c r="BA11" s="682">
        <f t="shared" si="1"/>
        <v>315000</v>
      </c>
    </row>
    <row r="12" spans="1:53" ht="16.5" x14ac:dyDescent="0.3">
      <c r="A12" s="123" t="s">
        <v>329</v>
      </c>
      <c r="B12" s="123"/>
      <c r="C12" s="817"/>
      <c r="D12" s="688"/>
      <c r="E12" s="681"/>
      <c r="F12" s="681"/>
      <c r="G12" s="681"/>
      <c r="H12" s="681"/>
      <c r="I12" s="681"/>
      <c r="J12" s="681">
        <v>600000</v>
      </c>
      <c r="K12" s="681">
        <v>6000</v>
      </c>
      <c r="L12" s="681"/>
      <c r="M12" s="681"/>
      <c r="N12" s="681"/>
      <c r="O12" s="681"/>
      <c r="P12" s="681"/>
      <c r="Q12" s="681"/>
      <c r="R12" s="681"/>
      <c r="S12" s="681"/>
      <c r="T12" s="681"/>
      <c r="U12" s="681"/>
      <c r="V12" s="681"/>
      <c r="W12" s="681"/>
      <c r="X12" s="681"/>
      <c r="Y12" s="681"/>
      <c r="Z12" s="681"/>
      <c r="AA12" s="681"/>
      <c r="AB12" s="681"/>
      <c r="AC12" s="681"/>
      <c r="AD12" s="681"/>
      <c r="AE12" s="681"/>
      <c r="AF12" s="681"/>
      <c r="AG12" s="681"/>
      <c r="AH12" s="681"/>
      <c r="AI12" s="681"/>
      <c r="AJ12" s="681"/>
      <c r="AK12" s="681"/>
      <c r="AL12" s="681"/>
      <c r="AM12" s="681"/>
      <c r="AN12" s="681"/>
      <c r="AO12" s="681"/>
      <c r="AP12" s="681"/>
      <c r="AQ12" s="681"/>
      <c r="AR12" s="681"/>
      <c r="AS12" s="681"/>
      <c r="AT12" s="681"/>
      <c r="AU12" s="687"/>
      <c r="AV12" s="1018">
        <f t="shared" si="0"/>
        <v>600000</v>
      </c>
      <c r="AW12" s="1019">
        <f t="shared" si="0"/>
        <v>6000</v>
      </c>
      <c r="AX12" s="687"/>
      <c r="AY12" s="682"/>
      <c r="AZ12" s="682">
        <f t="shared" si="1"/>
        <v>600000</v>
      </c>
      <c r="BA12" s="682">
        <f t="shared" si="1"/>
        <v>6000</v>
      </c>
    </row>
    <row r="13" spans="1:53" ht="16.5" x14ac:dyDescent="0.3">
      <c r="A13" s="96" t="s">
        <v>325</v>
      </c>
      <c r="B13" s="96">
        <v>25759</v>
      </c>
      <c r="C13" s="817">
        <v>21831</v>
      </c>
      <c r="D13" s="688">
        <v>82.13</v>
      </c>
      <c r="E13" s="681">
        <v>-554</v>
      </c>
      <c r="F13" s="681">
        <v>881.26</v>
      </c>
      <c r="G13" s="681">
        <v>106</v>
      </c>
      <c r="H13" s="681">
        <v>179841.9</v>
      </c>
      <c r="I13" s="681">
        <v>206092</v>
      </c>
      <c r="J13" s="681">
        <v>5622.48</v>
      </c>
      <c r="K13" s="681">
        <v>1667</v>
      </c>
      <c r="L13" s="681">
        <v>1087.06</v>
      </c>
      <c r="M13" s="681">
        <v>2435</v>
      </c>
      <c r="N13" s="681">
        <v>114.13</v>
      </c>
      <c r="O13" s="681">
        <v>28</v>
      </c>
      <c r="P13" s="681">
        <v>4675.42</v>
      </c>
      <c r="Q13" s="681">
        <v>3710</v>
      </c>
      <c r="R13" s="681">
        <v>7045.26</v>
      </c>
      <c r="S13" s="681">
        <v>10771</v>
      </c>
      <c r="T13" s="681">
        <v>-159.26</v>
      </c>
      <c r="U13" s="681">
        <v>147</v>
      </c>
      <c r="V13" s="681">
        <v>255500.83</v>
      </c>
      <c r="W13" s="681">
        <v>216968</v>
      </c>
      <c r="X13" s="681">
        <v>299349.13</v>
      </c>
      <c r="Y13" s="681">
        <v>289543</v>
      </c>
      <c r="Z13" s="681">
        <v>1952.93</v>
      </c>
      <c r="AA13" s="681">
        <v>3184</v>
      </c>
      <c r="AB13" s="681">
        <v>1618.73</v>
      </c>
      <c r="AC13" s="681">
        <v>627</v>
      </c>
      <c r="AD13" s="681">
        <v>12283.29</v>
      </c>
      <c r="AE13" s="681">
        <v>11544</v>
      </c>
      <c r="AF13" s="681">
        <v>96360.29</v>
      </c>
      <c r="AG13" s="681">
        <v>67935</v>
      </c>
      <c r="AH13" s="681">
        <v>18827</v>
      </c>
      <c r="AI13" s="681">
        <v>28819</v>
      </c>
      <c r="AJ13" s="681">
        <v>9442.2900000000009</v>
      </c>
      <c r="AK13" s="681">
        <v>21650</v>
      </c>
      <c r="AL13" s="681"/>
      <c r="AM13" s="681"/>
      <c r="AN13" s="681">
        <v>272681.34999999998</v>
      </c>
      <c r="AO13" s="681">
        <v>320690</v>
      </c>
      <c r="AP13" s="681">
        <v>4449.8900000000003</v>
      </c>
      <c r="AQ13" s="681">
        <v>4836.7700000000004</v>
      </c>
      <c r="AR13" s="681">
        <v>-175.71</v>
      </c>
      <c r="AS13" s="681">
        <v>2402</v>
      </c>
      <c r="AT13" s="681">
        <v>139212.63</v>
      </c>
      <c r="AU13" s="687">
        <v>155002</v>
      </c>
      <c r="AV13" s="1018">
        <f t="shared" si="0"/>
        <v>1336452.0300000003</v>
      </c>
      <c r="AW13" s="1019">
        <f t="shared" si="0"/>
        <v>1369433.77</v>
      </c>
      <c r="AX13" s="687">
        <v>27287079.07</v>
      </c>
      <c r="AY13" s="682">
        <v>40023933</v>
      </c>
      <c r="AZ13" s="682">
        <f t="shared" si="1"/>
        <v>28623531.100000001</v>
      </c>
      <c r="BA13" s="682">
        <f t="shared" si="1"/>
        <v>41393366.770000003</v>
      </c>
    </row>
    <row r="14" spans="1:53" ht="16.5" x14ac:dyDescent="0.3">
      <c r="A14" s="96" t="s">
        <v>330</v>
      </c>
      <c r="B14" s="96"/>
      <c r="C14" s="817"/>
      <c r="D14" s="688"/>
      <c r="E14" s="681"/>
      <c r="F14" s="681"/>
      <c r="G14" s="681"/>
      <c r="H14" s="681"/>
      <c r="I14" s="681"/>
      <c r="J14" s="681"/>
      <c r="K14" s="681"/>
      <c r="L14" s="681"/>
      <c r="M14" s="681"/>
      <c r="N14" s="681"/>
      <c r="O14" s="681"/>
      <c r="P14" s="681"/>
      <c r="Q14" s="681"/>
      <c r="R14" s="681"/>
      <c r="S14" s="681"/>
      <c r="T14" s="681"/>
      <c r="U14" s="681"/>
      <c r="V14" s="681"/>
      <c r="W14" s="681"/>
      <c r="X14" s="681">
        <v>6866.79</v>
      </c>
      <c r="Y14" s="681"/>
      <c r="Z14" s="681"/>
      <c r="AA14" s="681"/>
      <c r="AB14" s="681"/>
      <c r="AC14" s="681"/>
      <c r="AD14" s="681">
        <v>4973.6899999999996</v>
      </c>
      <c r="AE14" s="681">
        <v>4974</v>
      </c>
      <c r="AF14" s="681">
        <v>222.48</v>
      </c>
      <c r="AG14" s="681"/>
      <c r="AH14" s="681"/>
      <c r="AI14" s="681"/>
      <c r="AJ14" s="681"/>
      <c r="AK14" s="681"/>
      <c r="AL14" s="681"/>
      <c r="AM14" s="681"/>
      <c r="AN14" s="681"/>
      <c r="AO14" s="681"/>
      <c r="AP14" s="681"/>
      <c r="AQ14" s="681"/>
      <c r="AR14" s="681"/>
      <c r="AS14" s="681"/>
      <c r="AT14" s="681"/>
      <c r="AU14" s="687"/>
      <c r="AV14" s="1018">
        <f t="shared" si="0"/>
        <v>12062.96</v>
      </c>
      <c r="AW14" s="1019">
        <f t="shared" si="0"/>
        <v>4974</v>
      </c>
      <c r="AX14" s="687"/>
      <c r="AY14" s="682"/>
      <c r="AZ14" s="682">
        <f t="shared" si="1"/>
        <v>12062.96</v>
      </c>
      <c r="BA14" s="682">
        <f t="shared" si="1"/>
        <v>4974</v>
      </c>
    </row>
    <row r="15" spans="1:53" ht="16.5" x14ac:dyDescent="0.3">
      <c r="A15" s="96" t="s">
        <v>331</v>
      </c>
      <c r="B15" s="96"/>
      <c r="C15" s="817"/>
      <c r="D15" s="688"/>
      <c r="E15" s="681"/>
      <c r="F15" s="681"/>
      <c r="G15" s="681"/>
      <c r="H15" s="681">
        <v>3226435.62</v>
      </c>
      <c r="I15" s="681">
        <v>9853197</v>
      </c>
      <c r="J15" s="681"/>
      <c r="K15" s="681"/>
      <c r="L15" s="681"/>
      <c r="M15" s="681"/>
      <c r="N15" s="681"/>
      <c r="O15" s="681"/>
      <c r="P15" s="681"/>
      <c r="Q15" s="681"/>
      <c r="R15" s="681"/>
      <c r="S15" s="681"/>
      <c r="T15" s="681"/>
      <c r="U15" s="681"/>
      <c r="V15" s="681"/>
      <c r="W15" s="681"/>
      <c r="X15" s="681">
        <v>6021555.9400000004</v>
      </c>
      <c r="Y15" s="681"/>
      <c r="Z15" s="681"/>
      <c r="AA15" s="681"/>
      <c r="AB15" s="681"/>
      <c r="AC15" s="681"/>
      <c r="AD15" s="681"/>
      <c r="AE15" s="681"/>
      <c r="AF15" s="681"/>
      <c r="AG15" s="681"/>
      <c r="AH15" s="681"/>
      <c r="AI15" s="681"/>
      <c r="AJ15" s="681"/>
      <c r="AK15" s="681"/>
      <c r="AL15" s="681"/>
      <c r="AM15" s="681"/>
      <c r="AN15" s="681"/>
      <c r="AO15" s="681"/>
      <c r="AP15" s="681"/>
      <c r="AQ15" s="681"/>
      <c r="AR15" s="681"/>
      <c r="AS15" s="681"/>
      <c r="AT15" s="681"/>
      <c r="AU15" s="687"/>
      <c r="AV15" s="1018">
        <f t="shared" si="0"/>
        <v>9247991.5600000005</v>
      </c>
      <c r="AW15" s="1019">
        <f t="shared" si="0"/>
        <v>9853197</v>
      </c>
      <c r="AX15" s="687"/>
      <c r="AY15" s="682"/>
      <c r="AZ15" s="682">
        <f t="shared" si="1"/>
        <v>9247991.5600000005</v>
      </c>
      <c r="BA15" s="682">
        <f t="shared" si="1"/>
        <v>9853197</v>
      </c>
    </row>
    <row r="16" spans="1:53" ht="16.5" x14ac:dyDescent="0.3">
      <c r="A16" s="123" t="s">
        <v>332</v>
      </c>
      <c r="B16" s="123">
        <v>2248634.12</v>
      </c>
      <c r="C16" s="817">
        <v>2824017</v>
      </c>
      <c r="D16" s="688">
        <v>182383.11</v>
      </c>
      <c r="E16" s="681">
        <v>224833</v>
      </c>
      <c r="F16" s="681">
        <v>657775.5</v>
      </c>
      <c r="G16" s="681">
        <f>3046+41+2927+88+703890+18598+4822+317+6520+399+1791</f>
        <v>742439</v>
      </c>
      <c r="H16" s="681"/>
      <c r="I16" s="681"/>
      <c r="J16" s="681">
        <v>738575.38</v>
      </c>
      <c r="K16" s="681">
        <v>899363</v>
      </c>
      <c r="L16" s="681">
        <v>827686.61</v>
      </c>
      <c r="M16" s="681">
        <f>5098+289+155570+549011+3439+349486+98600+467</f>
        <v>1161960</v>
      </c>
      <c r="N16" s="681">
        <v>432504.22</v>
      </c>
      <c r="O16" s="681">
        <v>497433</v>
      </c>
      <c r="P16" s="681">
        <v>265507.13</v>
      </c>
      <c r="Q16" s="681">
        <v>350094</v>
      </c>
      <c r="R16" s="681">
        <f>886036.06+2157.99+698110.44+19410.17+78741.09+105162.32</f>
        <v>1789618.07</v>
      </c>
      <c r="S16" s="681">
        <f>1000490+3110+454934+25716+67798+105390</f>
        <v>1657438</v>
      </c>
      <c r="T16" s="681">
        <v>425315.55</v>
      </c>
      <c r="U16" s="681">
        <v>504637</v>
      </c>
      <c r="V16" s="681">
        <v>8552302.0999999996</v>
      </c>
      <c r="W16" s="681">
        <v>10434250</v>
      </c>
      <c r="X16" s="681">
        <v>19876470.25</v>
      </c>
      <c r="Y16" s="681">
        <v>7368215</v>
      </c>
      <c r="Z16" s="681">
        <v>760167.63</v>
      </c>
      <c r="AA16" s="681">
        <v>837927</v>
      </c>
      <c r="AB16" s="681">
        <v>1021565.73</v>
      </c>
      <c r="AC16" s="681">
        <v>1082431</v>
      </c>
      <c r="AD16" s="681">
        <v>2233332.8199999998</v>
      </c>
      <c r="AE16" s="681">
        <v>2766755</v>
      </c>
      <c r="AF16" s="681">
        <v>5589363.46</v>
      </c>
      <c r="AG16" s="681">
        <v>6728220</v>
      </c>
      <c r="AH16" s="681">
        <v>1944539</v>
      </c>
      <c r="AI16" s="681">
        <v>2361700</v>
      </c>
      <c r="AJ16" s="681">
        <v>1688718.66</v>
      </c>
      <c r="AK16" s="681">
        <v>1906793</v>
      </c>
      <c r="AL16" s="681"/>
      <c r="AM16" s="681"/>
      <c r="AN16" s="681">
        <v>9240747.5</v>
      </c>
      <c r="AO16" s="681">
        <v>10975904</v>
      </c>
      <c r="AP16" s="681">
        <v>529823.86</v>
      </c>
      <c r="AQ16" s="681">
        <v>674426</v>
      </c>
      <c r="AR16" s="681">
        <v>862948.77</v>
      </c>
      <c r="AS16" s="681">
        <v>1117807</v>
      </c>
      <c r="AT16" s="681">
        <v>2635066.15</v>
      </c>
      <c r="AU16" s="687">
        <v>3334230</v>
      </c>
      <c r="AV16" s="1018">
        <f t="shared" si="0"/>
        <v>62503045.619999997</v>
      </c>
      <c r="AW16" s="1019">
        <f t="shared" si="0"/>
        <v>58450872</v>
      </c>
      <c r="AX16" s="687">
        <v>340375097.08999997</v>
      </c>
      <c r="AY16" s="682">
        <v>371003945</v>
      </c>
      <c r="AZ16" s="682">
        <f t="shared" si="1"/>
        <v>402878142.70999998</v>
      </c>
      <c r="BA16" s="682">
        <f t="shared" si="1"/>
        <v>429454817</v>
      </c>
    </row>
    <row r="17" spans="1:53" ht="16.5" x14ac:dyDescent="0.3">
      <c r="A17" s="96" t="s">
        <v>333</v>
      </c>
      <c r="B17" s="96"/>
      <c r="C17" s="817"/>
      <c r="D17" s="688"/>
      <c r="E17" s="681"/>
      <c r="F17" s="681"/>
      <c r="G17" s="681"/>
      <c r="H17" s="681"/>
      <c r="I17" s="681"/>
      <c r="J17" s="681"/>
      <c r="K17" s="681"/>
      <c r="L17" s="681"/>
      <c r="M17" s="681"/>
      <c r="N17" s="681"/>
      <c r="O17" s="681"/>
      <c r="P17" s="681"/>
      <c r="Q17" s="681"/>
      <c r="R17" s="681"/>
      <c r="S17" s="681"/>
      <c r="T17" s="681"/>
      <c r="U17" s="681"/>
      <c r="V17" s="681"/>
      <c r="W17" s="681"/>
      <c r="X17" s="681"/>
      <c r="Y17" s="681"/>
      <c r="Z17" s="681"/>
      <c r="AA17" s="681"/>
      <c r="AB17" s="681"/>
      <c r="AC17" s="681"/>
      <c r="AD17" s="681"/>
      <c r="AE17" s="681"/>
      <c r="AF17" s="681"/>
      <c r="AG17" s="681"/>
      <c r="AH17" s="681"/>
      <c r="AI17" s="681"/>
      <c r="AJ17" s="681"/>
      <c r="AK17" s="681"/>
      <c r="AL17" s="681"/>
      <c r="AM17" s="681"/>
      <c r="AN17" s="681"/>
      <c r="AO17" s="681"/>
      <c r="AP17" s="681"/>
      <c r="AQ17" s="681"/>
      <c r="AR17" s="681"/>
      <c r="AS17" s="681"/>
      <c r="AT17" s="681"/>
      <c r="AU17" s="687"/>
      <c r="AV17" s="1018">
        <f t="shared" si="0"/>
        <v>0</v>
      </c>
      <c r="AW17" s="1019">
        <f t="shared" si="0"/>
        <v>0</v>
      </c>
      <c r="AX17" s="687"/>
      <c r="AY17" s="682"/>
      <c r="AZ17" s="682">
        <f t="shared" si="1"/>
        <v>0</v>
      </c>
      <c r="BA17" s="682">
        <f t="shared" si="1"/>
        <v>0</v>
      </c>
    </row>
    <row r="18" spans="1:53" ht="16.5" x14ac:dyDescent="0.3">
      <c r="A18" s="123" t="s">
        <v>332</v>
      </c>
      <c r="B18" s="123"/>
      <c r="C18" s="817"/>
      <c r="D18" s="688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1"/>
      <c r="P18" s="681"/>
      <c r="Q18" s="681"/>
      <c r="R18" s="681"/>
      <c r="S18" s="681"/>
      <c r="T18" s="681"/>
      <c r="U18" s="681"/>
      <c r="V18" s="681"/>
      <c r="W18" s="681"/>
      <c r="X18" s="681"/>
      <c r="Y18" s="681"/>
      <c r="Z18" s="681"/>
      <c r="AA18" s="681"/>
      <c r="AB18" s="681"/>
      <c r="AC18" s="681"/>
      <c r="AD18" s="681"/>
      <c r="AE18" s="681"/>
      <c r="AF18" s="681"/>
      <c r="AG18" s="681"/>
      <c r="AH18" s="681"/>
      <c r="AI18" s="681"/>
      <c r="AJ18" s="681"/>
      <c r="AL18" s="681"/>
      <c r="AM18" s="681"/>
      <c r="AN18" s="681"/>
      <c r="AO18" s="681"/>
      <c r="AP18" s="681"/>
      <c r="AQ18" s="681"/>
      <c r="AR18" s="681"/>
      <c r="AS18" s="681"/>
      <c r="AT18" s="681"/>
      <c r="AU18" s="687"/>
      <c r="AV18" s="1018">
        <f t="shared" si="0"/>
        <v>0</v>
      </c>
      <c r="AW18" s="1019">
        <f>SUM(C18+E18+G18+I18+K18+M18+O18+Q18+S18+U18+W18+Y18+AA18+AC18+AE18+AG18+AI18+AK24+AM18+AO18+AQ18+AS18+AU18)</f>
        <v>631058</v>
      </c>
      <c r="AX18" s="687"/>
      <c r="AY18" s="682"/>
      <c r="AZ18" s="682">
        <f t="shared" si="1"/>
        <v>0</v>
      </c>
      <c r="BA18" s="682">
        <f t="shared" si="1"/>
        <v>631058</v>
      </c>
    </row>
    <row r="19" spans="1:53" ht="16.5" x14ac:dyDescent="0.3">
      <c r="A19" s="96" t="s">
        <v>275</v>
      </c>
      <c r="B19" s="96">
        <v>2416733.7799999998</v>
      </c>
      <c r="C19" s="817">
        <v>2579325</v>
      </c>
      <c r="D19" s="688"/>
      <c r="E19" s="681"/>
      <c r="F19" s="681"/>
      <c r="G19" s="681"/>
      <c r="H19" s="681"/>
      <c r="I19" s="681"/>
      <c r="J19" s="681"/>
      <c r="K19" s="681"/>
      <c r="L19" s="681"/>
      <c r="M19" s="681"/>
      <c r="N19" s="681"/>
      <c r="O19" s="681"/>
      <c r="P19" s="681"/>
      <c r="Q19" s="681"/>
      <c r="R19" s="681"/>
      <c r="S19" s="681"/>
      <c r="T19" s="681"/>
      <c r="U19" s="681"/>
      <c r="V19" s="681"/>
      <c r="W19" s="681"/>
      <c r="X19" s="681"/>
      <c r="Y19" s="681"/>
      <c r="Z19" s="681"/>
      <c r="AA19" s="681"/>
      <c r="AB19" s="681"/>
      <c r="AC19" s="681"/>
      <c r="AD19" s="681"/>
      <c r="AE19" s="681"/>
      <c r="AF19" s="681"/>
      <c r="AG19" s="681"/>
      <c r="AH19" s="681"/>
      <c r="AI19" s="681"/>
      <c r="AJ19" s="681"/>
      <c r="AK19" s="681"/>
      <c r="AL19" s="681"/>
      <c r="AM19" s="681"/>
      <c r="AN19" s="681"/>
      <c r="AO19" s="681"/>
      <c r="AP19" s="681">
        <v>48007.77</v>
      </c>
      <c r="AQ19" s="681">
        <v>44735</v>
      </c>
      <c r="AR19" s="681"/>
      <c r="AS19" s="681"/>
      <c r="AT19" s="681"/>
      <c r="AU19" s="687"/>
      <c r="AV19" s="1018">
        <f t="shared" si="0"/>
        <v>2464741.5499999998</v>
      </c>
      <c r="AW19" s="1019">
        <f t="shared" si="0"/>
        <v>2624060</v>
      </c>
      <c r="AX19" s="687"/>
      <c r="AY19" s="682"/>
      <c r="AZ19" s="682">
        <f t="shared" si="1"/>
        <v>2464741.5499999998</v>
      </c>
      <c r="BA19" s="682">
        <f t="shared" si="1"/>
        <v>2624060</v>
      </c>
    </row>
    <row r="20" spans="1:53" ht="16.5" x14ac:dyDescent="0.3">
      <c r="A20" s="96" t="s">
        <v>334</v>
      </c>
      <c r="B20" s="96"/>
      <c r="C20" s="817"/>
      <c r="D20" s="688"/>
      <c r="E20" s="681"/>
      <c r="F20" s="681"/>
      <c r="G20" s="681"/>
      <c r="H20" s="681"/>
      <c r="I20" s="681"/>
      <c r="J20" s="681"/>
      <c r="K20" s="681"/>
      <c r="L20" s="681"/>
      <c r="M20" s="681"/>
      <c r="N20" s="681"/>
      <c r="O20" s="681"/>
      <c r="P20" s="681"/>
      <c r="Q20" s="681"/>
      <c r="R20" s="681"/>
      <c r="S20" s="681"/>
      <c r="T20" s="681"/>
      <c r="U20" s="681"/>
      <c r="V20" s="681"/>
      <c r="W20" s="681"/>
      <c r="X20" s="681"/>
      <c r="Y20" s="681"/>
      <c r="Z20" s="681"/>
      <c r="AA20" s="681"/>
      <c r="AB20" s="681"/>
      <c r="AC20" s="681"/>
      <c r="AD20" s="681"/>
      <c r="AE20" s="681"/>
      <c r="AF20" s="681"/>
      <c r="AG20" s="681"/>
      <c r="AH20" s="681"/>
      <c r="AI20" s="681"/>
      <c r="AJ20" s="681"/>
      <c r="AK20" s="681"/>
      <c r="AL20" s="681"/>
      <c r="AM20" s="681"/>
      <c r="AN20" s="681"/>
      <c r="AO20" s="681"/>
      <c r="AP20" s="681"/>
      <c r="AQ20" s="681"/>
      <c r="AR20" s="681"/>
      <c r="AS20" s="681"/>
      <c r="AT20" s="681"/>
      <c r="AU20" s="687"/>
      <c r="AV20" s="1018">
        <f t="shared" si="0"/>
        <v>0</v>
      </c>
      <c r="AW20" s="1019">
        <f t="shared" si="0"/>
        <v>0</v>
      </c>
      <c r="AX20" s="687"/>
      <c r="AY20" s="682"/>
      <c r="AZ20" s="682">
        <f t="shared" si="1"/>
        <v>0</v>
      </c>
      <c r="BA20" s="682">
        <f t="shared" si="1"/>
        <v>0</v>
      </c>
    </row>
    <row r="21" spans="1:53" ht="16.5" x14ac:dyDescent="0.3">
      <c r="A21" s="123" t="s">
        <v>335</v>
      </c>
      <c r="B21" s="123"/>
      <c r="C21" s="817"/>
      <c r="D21" s="688"/>
      <c r="E21" s="681"/>
      <c r="F21" s="681"/>
      <c r="G21" s="681"/>
      <c r="H21" s="681"/>
      <c r="I21" s="681"/>
      <c r="J21" s="681"/>
      <c r="K21" s="681"/>
      <c r="L21" s="681"/>
      <c r="M21" s="681"/>
      <c r="N21" s="681"/>
      <c r="O21" s="681"/>
      <c r="P21" s="681"/>
      <c r="Q21" s="681"/>
      <c r="R21" s="681"/>
      <c r="S21" s="681"/>
      <c r="T21" s="681"/>
      <c r="U21" s="681"/>
      <c r="V21" s="681"/>
      <c r="W21" s="681"/>
      <c r="X21" s="681"/>
      <c r="Y21" s="681"/>
      <c r="Z21" s="681"/>
      <c r="AA21" s="681"/>
      <c r="AB21" s="681"/>
      <c r="AC21" s="681"/>
      <c r="AD21" s="681"/>
      <c r="AE21" s="681"/>
      <c r="AF21" s="681"/>
      <c r="AG21" s="681"/>
      <c r="AH21" s="681"/>
      <c r="AI21" s="681"/>
      <c r="AJ21" s="681"/>
      <c r="AK21" s="681"/>
      <c r="AL21" s="681"/>
      <c r="AM21" s="681"/>
      <c r="AN21" s="681"/>
      <c r="AO21" s="681"/>
      <c r="AP21" s="681"/>
      <c r="AQ21" s="681"/>
      <c r="AR21" s="681"/>
      <c r="AS21" s="681"/>
      <c r="AT21" s="681"/>
      <c r="AU21" s="687"/>
      <c r="AV21" s="1018">
        <f t="shared" si="0"/>
        <v>0</v>
      </c>
      <c r="AW21" s="1019">
        <f t="shared" si="0"/>
        <v>0</v>
      </c>
      <c r="AX21" s="687">
        <v>1293403.1299999999</v>
      </c>
      <c r="AY21" s="682">
        <v>1285462</v>
      </c>
      <c r="AZ21" s="682">
        <f t="shared" si="1"/>
        <v>1293403.1299999999</v>
      </c>
      <c r="BA21" s="682">
        <f t="shared" si="1"/>
        <v>1285462</v>
      </c>
    </row>
    <row r="22" spans="1:53" ht="16.5" x14ac:dyDescent="0.3">
      <c r="A22" s="96" t="s">
        <v>336</v>
      </c>
      <c r="B22" s="96"/>
      <c r="C22" s="817"/>
      <c r="D22" s="688"/>
      <c r="E22" s="681"/>
      <c r="F22" s="681"/>
      <c r="G22" s="681"/>
      <c r="H22" s="681"/>
      <c r="I22" s="681"/>
      <c r="J22" s="681"/>
      <c r="K22" s="681"/>
      <c r="L22" s="681"/>
      <c r="M22" s="681"/>
      <c r="N22" s="681"/>
      <c r="O22" s="681"/>
      <c r="P22" s="681"/>
      <c r="Q22" s="681"/>
      <c r="R22" s="681"/>
      <c r="S22" s="681"/>
      <c r="T22" s="681"/>
      <c r="U22" s="681"/>
      <c r="V22" s="681"/>
      <c r="W22" s="681"/>
      <c r="X22" s="681"/>
      <c r="Y22" s="681"/>
      <c r="Z22" s="681"/>
      <c r="AA22" s="681"/>
      <c r="AB22" s="681"/>
      <c r="AC22" s="681"/>
      <c r="AD22" s="681"/>
      <c r="AE22" s="681"/>
      <c r="AF22" s="681"/>
      <c r="AG22" s="681"/>
      <c r="AH22" s="681"/>
      <c r="AI22" s="681"/>
      <c r="AJ22" s="681"/>
      <c r="AK22" s="681"/>
      <c r="AL22" s="681"/>
      <c r="AM22" s="681"/>
      <c r="AN22" s="681"/>
      <c r="AO22" s="681"/>
      <c r="AP22" s="681"/>
      <c r="AQ22" s="681"/>
      <c r="AR22" s="681"/>
      <c r="AS22" s="681"/>
      <c r="AT22" s="681"/>
      <c r="AU22" s="687"/>
      <c r="AV22" s="1018">
        <f t="shared" si="0"/>
        <v>0</v>
      </c>
      <c r="AW22" s="1019">
        <f t="shared" si="0"/>
        <v>0</v>
      </c>
      <c r="AX22" s="687"/>
      <c r="AY22" s="682"/>
      <c r="AZ22" s="682">
        <f t="shared" si="1"/>
        <v>0</v>
      </c>
      <c r="BA22" s="682">
        <f t="shared" si="1"/>
        <v>0</v>
      </c>
    </row>
    <row r="23" spans="1:53" ht="16.5" x14ac:dyDescent="0.3">
      <c r="A23" s="96" t="s">
        <v>337</v>
      </c>
      <c r="B23" s="96"/>
      <c r="C23" s="817"/>
      <c r="D23" s="688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1"/>
      <c r="U23" s="681"/>
      <c r="V23" s="681"/>
      <c r="W23" s="681"/>
      <c r="X23" s="681"/>
      <c r="Y23" s="681"/>
      <c r="Z23" s="681"/>
      <c r="AA23" s="681"/>
      <c r="AB23" s="681"/>
      <c r="AC23" s="681"/>
      <c r="AD23" s="681"/>
      <c r="AE23" s="681"/>
      <c r="AF23" s="681"/>
      <c r="AG23" s="681"/>
      <c r="AH23" s="681"/>
      <c r="AI23" s="681"/>
      <c r="AJ23" s="681"/>
      <c r="AK23" s="681"/>
      <c r="AL23" s="681"/>
      <c r="AM23" s="681"/>
      <c r="AN23" s="681"/>
      <c r="AO23" s="681"/>
      <c r="AP23" s="681"/>
      <c r="AQ23" s="681"/>
      <c r="AR23" s="681"/>
      <c r="AS23" s="681"/>
      <c r="AT23" s="681"/>
      <c r="AU23" s="687"/>
      <c r="AV23" s="1018">
        <f t="shared" si="0"/>
        <v>0</v>
      </c>
      <c r="AW23" s="1019">
        <f t="shared" si="0"/>
        <v>0</v>
      </c>
      <c r="AX23" s="687"/>
      <c r="AY23" s="682"/>
      <c r="AZ23" s="682">
        <f t="shared" si="1"/>
        <v>0</v>
      </c>
      <c r="BA23" s="682">
        <f t="shared" si="1"/>
        <v>0</v>
      </c>
    </row>
    <row r="24" spans="1:53" ht="16.5" x14ac:dyDescent="0.3">
      <c r="A24" s="123" t="s">
        <v>338</v>
      </c>
      <c r="B24" s="123"/>
      <c r="C24" s="817"/>
      <c r="D24" s="688">
        <v>89482</v>
      </c>
      <c r="E24" s="681">
        <v>91607</v>
      </c>
      <c r="F24" s="681">
        <v>35309595</v>
      </c>
      <c r="G24" s="681">
        <f>4745+312+280565+31285+31990+15498</f>
        <v>364395</v>
      </c>
      <c r="H24" s="681">
        <v>2209369.1800000002</v>
      </c>
      <c r="I24" s="681">
        <v>2558361</v>
      </c>
      <c r="J24" s="681">
        <v>138021.76000000001</v>
      </c>
      <c r="K24" s="681">
        <v>166556</v>
      </c>
      <c r="L24" s="681">
        <f>906708.55+8719.39</f>
        <v>915427.94000000006</v>
      </c>
      <c r="M24" s="681">
        <f>1024872+11733</f>
        <v>1036605</v>
      </c>
      <c r="N24" s="681">
        <v>34809</v>
      </c>
      <c r="O24" s="681">
        <v>35443</v>
      </c>
      <c r="P24" s="681">
        <v>103497.16</v>
      </c>
      <c r="Q24" s="681">
        <v>134758</v>
      </c>
      <c r="R24" s="681">
        <v>163662.17000000001</v>
      </c>
      <c r="S24" s="681">
        <v>183611</v>
      </c>
      <c r="T24" s="681">
        <v>53883.56</v>
      </c>
      <c r="U24" s="681">
        <v>57240</v>
      </c>
      <c r="V24" s="681">
        <v>7096352</v>
      </c>
      <c r="W24" s="681">
        <v>7651898</v>
      </c>
      <c r="X24" s="681">
        <v>12777039.6</v>
      </c>
      <c r="Y24" s="681">
        <v>14054141</v>
      </c>
      <c r="Z24" s="681">
        <v>334359.21000000002</v>
      </c>
      <c r="AA24" s="681">
        <v>393293</v>
      </c>
      <c r="AB24" s="681">
        <v>556109.02</v>
      </c>
      <c r="AC24" s="681">
        <v>673177</v>
      </c>
      <c r="AD24" s="681">
        <v>1880472.95</v>
      </c>
      <c r="AE24" s="681">
        <v>2208216</v>
      </c>
      <c r="AF24" s="681">
        <v>2547031.7799999998</v>
      </c>
      <c r="AG24" s="681">
        <v>2940349</v>
      </c>
      <c r="AH24" s="681">
        <v>63347</v>
      </c>
      <c r="AI24" s="681">
        <v>715374</v>
      </c>
      <c r="AJ24" s="681">
        <v>567534.51</v>
      </c>
      <c r="AK24" s="681">
        <v>631058</v>
      </c>
      <c r="AL24" s="681"/>
      <c r="AM24" s="681"/>
      <c r="AN24" s="681">
        <v>9654953.6699999999</v>
      </c>
      <c r="AO24" s="681">
        <v>13445303</v>
      </c>
      <c r="AP24" s="681"/>
      <c r="AQ24" s="681"/>
      <c r="AR24" s="681">
        <v>210726.01</v>
      </c>
      <c r="AS24" s="681">
        <v>228750</v>
      </c>
      <c r="AT24" s="681">
        <v>1550075.71</v>
      </c>
      <c r="AU24" s="687">
        <v>1885854</v>
      </c>
      <c r="AV24" s="1018">
        <f t="shared" si="0"/>
        <v>76255749.230000004</v>
      </c>
      <c r="AW24" s="1019">
        <f t="shared" si="0"/>
        <v>49455989</v>
      </c>
      <c r="AX24" s="687">
        <v>3293196.17</v>
      </c>
      <c r="AY24" s="682">
        <v>2388583</v>
      </c>
      <c r="AZ24" s="682">
        <f t="shared" si="1"/>
        <v>79548945.400000006</v>
      </c>
      <c r="BA24" s="682">
        <f t="shared" si="1"/>
        <v>51844572</v>
      </c>
    </row>
    <row r="25" spans="1:53" ht="16.5" x14ac:dyDescent="0.3">
      <c r="A25" s="96" t="s">
        <v>339</v>
      </c>
      <c r="B25" s="96"/>
      <c r="C25" s="817"/>
      <c r="D25" s="688"/>
      <c r="E25" s="681"/>
      <c r="F25" s="681"/>
      <c r="G25" s="681"/>
      <c r="H25" s="681">
        <v>477912.28</v>
      </c>
      <c r="I25" s="681">
        <v>589917</v>
      </c>
      <c r="J25" s="681"/>
      <c r="K25" s="681"/>
      <c r="L25" s="681">
        <v>189323.12</v>
      </c>
      <c r="M25" s="681">
        <v>202545</v>
      </c>
      <c r="N25" s="681"/>
      <c r="O25" s="681"/>
      <c r="P25" s="681">
        <v>15069.64</v>
      </c>
      <c r="Q25" s="681">
        <v>18865</v>
      </c>
      <c r="R25" s="681">
        <v>40351.35</v>
      </c>
      <c r="S25" s="681">
        <v>35980</v>
      </c>
      <c r="T25" s="681"/>
      <c r="U25" s="681"/>
      <c r="V25" s="681"/>
      <c r="W25" s="681"/>
      <c r="X25" s="681"/>
      <c r="Y25" s="681"/>
      <c r="Z25" s="681"/>
      <c r="AA25" s="681"/>
      <c r="AB25" s="681"/>
      <c r="AC25" s="681"/>
      <c r="AD25" s="681"/>
      <c r="AE25" s="681"/>
      <c r="AF25" s="681"/>
      <c r="AG25" s="681"/>
      <c r="AH25" s="681"/>
      <c r="AI25" s="681"/>
      <c r="AJ25" s="681"/>
      <c r="AK25" s="681"/>
      <c r="AL25" s="681"/>
      <c r="AM25" s="681"/>
      <c r="AN25" s="681">
        <v>12655404.029999999</v>
      </c>
      <c r="AO25" s="681"/>
      <c r="AP25" s="681"/>
      <c r="AQ25" s="681"/>
      <c r="AR25" s="681">
        <v>24723.22</v>
      </c>
      <c r="AS25" s="681">
        <v>14653</v>
      </c>
      <c r="AT25" s="681"/>
      <c r="AU25" s="687"/>
      <c r="AV25" s="1018">
        <f t="shared" si="0"/>
        <v>13402783.640000001</v>
      </c>
      <c r="AW25" s="1019">
        <f t="shared" si="0"/>
        <v>861960</v>
      </c>
      <c r="AX25" s="687"/>
      <c r="AY25" s="682"/>
      <c r="AZ25" s="682">
        <f t="shared" si="1"/>
        <v>13402783.640000001</v>
      </c>
      <c r="BA25" s="682">
        <f t="shared" si="1"/>
        <v>861960</v>
      </c>
    </row>
    <row r="26" spans="1:53" ht="16.5" x14ac:dyDescent="0.3">
      <c r="A26" s="96" t="s">
        <v>340</v>
      </c>
      <c r="B26" s="96"/>
      <c r="C26" s="817"/>
      <c r="D26" s="688"/>
      <c r="E26" s="681"/>
      <c r="F26" s="681"/>
      <c r="G26" s="681"/>
      <c r="H26" s="681"/>
      <c r="I26" s="681"/>
      <c r="J26" s="681"/>
      <c r="K26" s="681"/>
      <c r="L26" s="681"/>
      <c r="M26" s="681"/>
      <c r="N26" s="681"/>
      <c r="O26" s="681"/>
      <c r="P26" s="681"/>
      <c r="Q26" s="681"/>
      <c r="R26" s="681">
        <v>897.73</v>
      </c>
      <c r="S26" s="681">
        <v>809</v>
      </c>
      <c r="T26" s="681"/>
      <c r="U26" s="681"/>
      <c r="V26" s="681"/>
      <c r="W26" s="681"/>
      <c r="X26" s="681"/>
      <c r="Y26" s="681"/>
      <c r="Z26" s="681"/>
      <c r="AA26" s="681"/>
      <c r="AB26" s="681"/>
      <c r="AC26" s="681"/>
      <c r="AD26" s="681"/>
      <c r="AE26" s="681"/>
      <c r="AF26" s="681"/>
      <c r="AG26" s="681"/>
      <c r="AH26" s="681"/>
      <c r="AI26" s="681"/>
      <c r="AJ26" s="681"/>
      <c r="AK26" s="681"/>
      <c r="AL26" s="681"/>
      <c r="AM26" s="681"/>
      <c r="AN26" s="681"/>
      <c r="AO26" s="681"/>
      <c r="AP26" s="681"/>
      <c r="AQ26" s="681"/>
      <c r="AR26" s="681"/>
      <c r="AS26" s="681"/>
      <c r="AT26" s="681">
        <v>38.369999999999997</v>
      </c>
      <c r="AU26" s="687"/>
      <c r="AV26" s="1018">
        <f t="shared" si="0"/>
        <v>936.1</v>
      </c>
      <c r="AW26" s="1019">
        <f t="shared" si="0"/>
        <v>809</v>
      </c>
      <c r="AX26" s="687"/>
      <c r="AY26" s="682"/>
      <c r="AZ26" s="682">
        <f t="shared" si="1"/>
        <v>936.1</v>
      </c>
      <c r="BA26" s="682">
        <f t="shared" si="1"/>
        <v>809</v>
      </c>
    </row>
    <row r="27" spans="1:53" ht="16.5" x14ac:dyDescent="0.3">
      <c r="A27" s="123" t="s">
        <v>341</v>
      </c>
      <c r="B27" s="123"/>
      <c r="C27" s="817"/>
      <c r="D27" s="688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Q27" s="681"/>
      <c r="R27" s="681"/>
      <c r="S27" s="681"/>
      <c r="T27" s="681"/>
      <c r="U27" s="681"/>
      <c r="V27" s="681"/>
      <c r="W27" s="681"/>
      <c r="X27" s="681">
        <v>1077874.71</v>
      </c>
      <c r="Y27" s="681">
        <v>1027438</v>
      </c>
      <c r="Z27" s="681">
        <v>17813.96</v>
      </c>
      <c r="AA27" s="681">
        <v>21078</v>
      </c>
      <c r="AB27" s="681">
        <v>34461.07</v>
      </c>
      <c r="AC27" s="681">
        <v>44590</v>
      </c>
      <c r="AD27" s="681">
        <f>56773.27+92.47</f>
        <v>56865.74</v>
      </c>
      <c r="AE27" s="681">
        <v>61149</v>
      </c>
      <c r="AF27" s="681">
        <v>290329.94</v>
      </c>
      <c r="AG27" s="681">
        <v>403968</v>
      </c>
      <c r="AH27" s="681"/>
      <c r="AI27" s="681"/>
      <c r="AJ27" s="681">
        <v>39705.160000000003</v>
      </c>
      <c r="AK27" s="681">
        <v>58831</v>
      </c>
      <c r="AL27" s="681"/>
      <c r="AM27" s="681"/>
      <c r="AN27" s="681"/>
      <c r="AO27" s="681"/>
      <c r="AP27" s="681"/>
      <c r="AQ27" s="681"/>
      <c r="AR27" s="681"/>
      <c r="AS27" s="681"/>
      <c r="AT27" s="681"/>
      <c r="AU27" s="687"/>
      <c r="AV27" s="1018">
        <f t="shared" si="0"/>
        <v>1517050.5799999998</v>
      </c>
      <c r="AW27" s="1019">
        <f t="shared" si="0"/>
        <v>1617054</v>
      </c>
      <c r="AX27" s="687"/>
      <c r="AY27" s="682"/>
      <c r="AZ27" s="682">
        <f t="shared" si="1"/>
        <v>1517050.5799999998</v>
      </c>
      <c r="BA27" s="682">
        <f t="shared" si="1"/>
        <v>1617054</v>
      </c>
    </row>
    <row r="28" spans="1:53" ht="16.5" x14ac:dyDescent="0.3">
      <c r="A28" s="96" t="s">
        <v>342</v>
      </c>
      <c r="B28" s="96">
        <v>89432.54</v>
      </c>
      <c r="C28" s="817">
        <v>118373</v>
      </c>
      <c r="D28" s="688">
        <v>12011.25</v>
      </c>
      <c r="E28" s="681">
        <v>12925</v>
      </c>
      <c r="F28" s="681"/>
      <c r="G28" s="681"/>
      <c r="H28" s="681">
        <v>168455.99</v>
      </c>
      <c r="I28" s="681">
        <v>173982</v>
      </c>
      <c r="J28" s="681">
        <v>2011.93</v>
      </c>
      <c r="K28" s="681">
        <v>4597</v>
      </c>
      <c r="L28" s="681">
        <v>65377.77</v>
      </c>
      <c r="M28" s="681">
        <v>59835</v>
      </c>
      <c r="N28" s="681">
        <v>5858</v>
      </c>
      <c r="O28" s="681">
        <v>5672</v>
      </c>
      <c r="P28" s="681">
        <v>16313.4</v>
      </c>
      <c r="Q28" s="681">
        <v>17032</v>
      </c>
      <c r="R28" s="681">
        <f>10765.95+5655.75</f>
        <v>16421.7</v>
      </c>
      <c r="S28" s="681">
        <f>11913+2728</f>
        <v>14641</v>
      </c>
      <c r="T28" s="681">
        <v>14211.34</v>
      </c>
      <c r="U28" s="681">
        <v>16000</v>
      </c>
      <c r="V28" s="681">
        <v>377616.39</v>
      </c>
      <c r="W28" s="681">
        <v>408536</v>
      </c>
      <c r="X28" s="681"/>
      <c r="Y28" s="681"/>
      <c r="Z28" s="681"/>
      <c r="AA28" s="681"/>
      <c r="AB28" s="681"/>
      <c r="AC28" s="681"/>
      <c r="AD28" s="681"/>
      <c r="AE28" s="681"/>
      <c r="AF28" s="681"/>
      <c r="AG28" s="681"/>
      <c r="AH28" s="681">
        <v>62776</v>
      </c>
      <c r="AI28" s="681">
        <v>92736</v>
      </c>
      <c r="AJ28" s="681"/>
      <c r="AK28" s="681"/>
      <c r="AL28" s="681"/>
      <c r="AM28" s="681"/>
      <c r="AN28" s="681">
        <v>690137.52</v>
      </c>
      <c r="AO28" s="681">
        <v>804417</v>
      </c>
      <c r="AP28" s="681">
        <v>2016.19</v>
      </c>
      <c r="AQ28" s="681">
        <v>2222</v>
      </c>
      <c r="AR28" s="681">
        <v>20366.990000000002</v>
      </c>
      <c r="AS28" s="681">
        <v>26494</v>
      </c>
      <c r="AT28" s="681">
        <v>92541.6</v>
      </c>
      <c r="AU28" s="687">
        <v>118640</v>
      </c>
      <c r="AV28" s="1018">
        <f t="shared" si="0"/>
        <v>1635548.61</v>
      </c>
      <c r="AW28" s="1019">
        <f t="shared" si="0"/>
        <v>1876102</v>
      </c>
      <c r="AX28" s="687">
        <v>3366</v>
      </c>
      <c r="AY28" s="682">
        <v>6633</v>
      </c>
      <c r="AZ28" s="682">
        <f t="shared" si="1"/>
        <v>1638914.61</v>
      </c>
      <c r="BA28" s="682">
        <f t="shared" si="1"/>
        <v>1882735</v>
      </c>
    </row>
    <row r="29" spans="1:53" ht="16.5" x14ac:dyDescent="0.3">
      <c r="A29" s="96" t="s">
        <v>343</v>
      </c>
      <c r="B29" s="96"/>
      <c r="C29" s="817"/>
      <c r="D29" s="688">
        <v>77.17</v>
      </c>
      <c r="E29" s="681">
        <v>138</v>
      </c>
      <c r="F29" s="681"/>
      <c r="G29" s="681"/>
      <c r="H29" s="681">
        <v>1059.8499999999999</v>
      </c>
      <c r="I29" s="681"/>
      <c r="J29" s="681"/>
      <c r="K29" s="681"/>
      <c r="L29" s="681">
        <v>844.05</v>
      </c>
      <c r="M29" s="681">
        <v>833</v>
      </c>
      <c r="N29" s="681"/>
      <c r="O29" s="681"/>
      <c r="P29" s="681"/>
      <c r="Q29" s="681"/>
      <c r="R29" s="681"/>
      <c r="S29" s="681"/>
      <c r="T29" s="681"/>
      <c r="U29" s="681"/>
      <c r="V29" s="681">
        <v>1980.67</v>
      </c>
      <c r="W29" s="681">
        <v>1720</v>
      </c>
      <c r="X29" s="681"/>
      <c r="Y29" s="681">
        <v>5051</v>
      </c>
      <c r="Z29" s="681"/>
      <c r="AA29" s="681"/>
      <c r="AB29" s="681"/>
      <c r="AC29" s="681"/>
      <c r="AD29" s="681">
        <v>93</v>
      </c>
      <c r="AE29" s="681">
        <v>25</v>
      </c>
      <c r="AF29" s="681"/>
      <c r="AG29" s="681"/>
      <c r="AH29" s="681"/>
      <c r="AI29" s="681"/>
      <c r="AJ29" s="681"/>
      <c r="AK29" s="681"/>
      <c r="AL29" s="681"/>
      <c r="AM29" s="681"/>
      <c r="AN29" s="681">
        <v>11006.63</v>
      </c>
      <c r="AO29" s="681">
        <v>12810</v>
      </c>
      <c r="AP29" s="681"/>
      <c r="AQ29" s="681"/>
      <c r="AR29" s="681">
        <v>8.67</v>
      </c>
      <c r="AS29" s="681">
        <v>44</v>
      </c>
      <c r="AT29" s="681">
        <v>821.25</v>
      </c>
      <c r="AU29" s="687">
        <v>785</v>
      </c>
      <c r="AV29" s="1018">
        <f t="shared" si="0"/>
        <v>15891.289999999999</v>
      </c>
      <c r="AW29" s="1019">
        <f t="shared" si="0"/>
        <v>21406</v>
      </c>
      <c r="AX29" s="687">
        <v>1699.73</v>
      </c>
      <c r="AY29" s="682">
        <v>1601</v>
      </c>
      <c r="AZ29" s="682">
        <f t="shared" si="1"/>
        <v>17591.02</v>
      </c>
      <c r="BA29" s="682">
        <f t="shared" si="1"/>
        <v>23007</v>
      </c>
    </row>
    <row r="30" spans="1:53" ht="16.5" x14ac:dyDescent="0.3">
      <c r="A30" s="96" t="s">
        <v>344</v>
      </c>
      <c r="B30" s="96">
        <v>2796734</v>
      </c>
      <c r="C30" s="817">
        <v>318321</v>
      </c>
      <c r="D30" s="688"/>
      <c r="E30" s="681"/>
      <c r="F30" s="681"/>
      <c r="G30" s="681"/>
      <c r="H30" s="681">
        <v>-699.57</v>
      </c>
      <c r="I30" s="681"/>
      <c r="J30" s="681"/>
      <c r="K30" s="681"/>
      <c r="L30" s="681"/>
      <c r="M30" s="681"/>
      <c r="N30" s="681"/>
      <c r="O30" s="681"/>
      <c r="P30" s="681"/>
      <c r="Q30" s="681"/>
      <c r="R30" s="681"/>
      <c r="S30" s="681"/>
      <c r="T30" s="681"/>
      <c r="U30" s="681"/>
      <c r="V30" s="681"/>
      <c r="W30" s="681"/>
      <c r="X30" s="681"/>
      <c r="Y30" s="681"/>
      <c r="Z30" s="681"/>
      <c r="AA30" s="681"/>
      <c r="AB30" s="681"/>
      <c r="AC30" s="681"/>
      <c r="AD30" s="681"/>
      <c r="AE30" s="681"/>
      <c r="AF30" s="681"/>
      <c r="AG30" s="681"/>
      <c r="AH30" s="681"/>
      <c r="AI30" s="681"/>
      <c r="AJ30" s="681"/>
      <c r="AK30" s="681"/>
      <c r="AL30" s="681"/>
      <c r="AM30" s="681"/>
      <c r="AN30" s="681"/>
      <c r="AO30" s="681"/>
      <c r="AP30" s="681"/>
      <c r="AQ30" s="681"/>
      <c r="AR30" s="681"/>
      <c r="AS30" s="681"/>
      <c r="AT30" s="681"/>
      <c r="AU30" s="687"/>
      <c r="AV30" s="1018">
        <f t="shared" si="0"/>
        <v>2796034.43</v>
      </c>
      <c r="AW30" s="1019">
        <f t="shared" si="0"/>
        <v>318321</v>
      </c>
      <c r="AX30" s="687"/>
      <c r="AY30" s="682"/>
      <c r="AZ30" s="682">
        <f t="shared" si="1"/>
        <v>2796034.43</v>
      </c>
      <c r="BA30" s="682">
        <f t="shared" si="1"/>
        <v>318321</v>
      </c>
    </row>
    <row r="31" spans="1:53" ht="16.5" x14ac:dyDescent="0.3">
      <c r="A31" s="96" t="s">
        <v>345</v>
      </c>
      <c r="B31" s="96"/>
      <c r="C31" s="817"/>
      <c r="D31" s="688"/>
      <c r="E31" s="681"/>
      <c r="F31" s="681"/>
      <c r="G31" s="681"/>
      <c r="H31" s="681"/>
      <c r="I31" s="681"/>
      <c r="J31" s="681"/>
      <c r="K31" s="681"/>
      <c r="L31" s="681"/>
      <c r="M31" s="681"/>
      <c r="N31" s="681"/>
      <c r="O31" s="681"/>
      <c r="P31" s="681"/>
      <c r="Q31" s="681"/>
      <c r="R31" s="681"/>
      <c r="S31" s="681"/>
      <c r="T31" s="681"/>
      <c r="U31" s="681"/>
      <c r="V31" s="681"/>
      <c r="W31" s="681"/>
      <c r="X31" s="681"/>
      <c r="Y31" s="681"/>
      <c r="Z31" s="681"/>
      <c r="AA31" s="681"/>
      <c r="AB31" s="681"/>
      <c r="AC31" s="681"/>
      <c r="AD31" s="681"/>
      <c r="AE31" s="681"/>
      <c r="AF31" s="681"/>
      <c r="AG31" s="681"/>
      <c r="AH31" s="681"/>
      <c r="AI31" s="681"/>
      <c r="AJ31" s="681"/>
      <c r="AK31" s="681"/>
      <c r="AL31" s="681"/>
      <c r="AM31" s="681"/>
      <c r="AN31" s="681"/>
      <c r="AO31" s="681"/>
      <c r="AP31" s="681"/>
      <c r="AQ31" s="681"/>
      <c r="AR31" s="681"/>
      <c r="AS31" s="681"/>
      <c r="AT31" s="681"/>
      <c r="AU31" s="687"/>
      <c r="AV31" s="1018">
        <f t="shared" si="0"/>
        <v>0</v>
      </c>
      <c r="AW31" s="1019">
        <f t="shared" si="0"/>
        <v>0</v>
      </c>
      <c r="AX31" s="687"/>
      <c r="AY31" s="682"/>
      <c r="AZ31" s="682">
        <f t="shared" si="1"/>
        <v>0</v>
      </c>
      <c r="BA31" s="682">
        <f t="shared" si="1"/>
        <v>0</v>
      </c>
    </row>
    <row r="32" spans="1:53" ht="16.5" x14ac:dyDescent="0.3">
      <c r="A32" s="123" t="s">
        <v>346</v>
      </c>
      <c r="B32" s="123"/>
      <c r="C32" s="817"/>
      <c r="D32" s="688"/>
      <c r="E32" s="681"/>
      <c r="F32" s="681">
        <v>8605.16</v>
      </c>
      <c r="G32" s="681">
        <v>9007</v>
      </c>
      <c r="H32" s="681"/>
      <c r="I32" s="681"/>
      <c r="J32" s="681">
        <v>11433.93</v>
      </c>
      <c r="K32" s="681">
        <v>15366</v>
      </c>
      <c r="L32" s="681">
        <v>54067.25</v>
      </c>
      <c r="M32" s="681">
        <v>61601</v>
      </c>
      <c r="N32" s="681">
        <v>1402.28</v>
      </c>
      <c r="O32" s="681">
        <v>3703</v>
      </c>
      <c r="P32" s="681">
        <v>623.14</v>
      </c>
      <c r="Q32" s="681">
        <v>958</v>
      </c>
      <c r="R32" s="681">
        <v>39393.949999999997</v>
      </c>
      <c r="S32" s="681">
        <v>40458</v>
      </c>
      <c r="T32" s="681">
        <v>28270.22</v>
      </c>
      <c r="U32" s="681">
        <v>30416</v>
      </c>
      <c r="V32" s="681">
        <v>99058.2</v>
      </c>
      <c r="W32" s="681">
        <v>94090</v>
      </c>
      <c r="X32" s="681"/>
      <c r="Y32" s="681"/>
      <c r="Z32" s="681">
        <v>9295.98</v>
      </c>
      <c r="AA32" s="681">
        <v>14156</v>
      </c>
      <c r="AB32" s="681">
        <v>11347.05</v>
      </c>
      <c r="AC32" s="681">
        <v>27424</v>
      </c>
      <c r="AD32" s="681">
        <v>29468.62</v>
      </c>
      <c r="AE32" s="681">
        <v>33873</v>
      </c>
      <c r="AF32" s="681"/>
      <c r="AG32" s="681"/>
      <c r="AH32" s="681"/>
      <c r="AI32" s="681"/>
      <c r="AJ32" s="681">
        <v>36628.870000000003</v>
      </c>
      <c r="AK32" s="681">
        <v>39313</v>
      </c>
      <c r="AL32" s="681"/>
      <c r="AM32" s="681"/>
      <c r="AN32" s="681">
        <v>84232.44</v>
      </c>
      <c r="AO32" s="681">
        <v>99364</v>
      </c>
      <c r="AP32" s="681">
        <v>3470.7</v>
      </c>
      <c r="AQ32" s="681">
        <f>2159+80</f>
        <v>2239</v>
      </c>
      <c r="AR32" s="681">
        <v>21859.96</v>
      </c>
      <c r="AS32" s="681">
        <v>26937</v>
      </c>
      <c r="AT32" s="681">
        <v>101431.33</v>
      </c>
      <c r="AU32" s="687">
        <v>109585</v>
      </c>
      <c r="AV32" s="1018">
        <f t="shared" si="0"/>
        <v>540589.08000000007</v>
      </c>
      <c r="AW32" s="1019">
        <f t="shared" si="0"/>
        <v>608490</v>
      </c>
      <c r="AX32" s="687">
        <v>333.99</v>
      </c>
      <c r="AY32" s="682">
        <v>183443</v>
      </c>
      <c r="AZ32" s="682">
        <f t="shared" si="1"/>
        <v>540923.07000000007</v>
      </c>
      <c r="BA32" s="682">
        <f t="shared" si="1"/>
        <v>791933</v>
      </c>
    </row>
    <row r="33" spans="1:53" ht="16.5" x14ac:dyDescent="0.3">
      <c r="A33" s="96" t="s">
        <v>275</v>
      </c>
      <c r="B33" s="96"/>
      <c r="C33" s="817"/>
      <c r="D33" s="688"/>
      <c r="E33" s="681"/>
      <c r="F33" s="681"/>
      <c r="G33" s="681"/>
      <c r="H33" s="681">
        <v>107128.09</v>
      </c>
      <c r="I33" s="681">
        <v>115876</v>
      </c>
      <c r="J33" s="681"/>
      <c r="K33" s="681"/>
      <c r="L33" s="681"/>
      <c r="M33" s="681"/>
      <c r="N33" s="681"/>
      <c r="O33" s="681"/>
      <c r="P33" s="681"/>
      <c r="Q33" s="681"/>
      <c r="R33" s="681"/>
      <c r="S33" s="681"/>
      <c r="T33" s="681"/>
      <c r="U33" s="681"/>
      <c r="V33" s="681"/>
      <c r="W33" s="681"/>
      <c r="X33" s="681"/>
      <c r="Y33" s="681"/>
      <c r="Z33" s="681"/>
      <c r="AA33" s="681"/>
      <c r="AB33" s="681"/>
      <c r="AC33" s="681"/>
      <c r="AD33" s="681"/>
      <c r="AE33" s="681"/>
      <c r="AF33" s="681"/>
      <c r="AG33" s="681"/>
      <c r="AH33" s="681"/>
      <c r="AI33" s="681"/>
      <c r="AJ33" s="681"/>
      <c r="AK33" s="681"/>
      <c r="AL33" s="681"/>
      <c r="AM33" s="681"/>
      <c r="AN33" s="681"/>
      <c r="AO33" s="681"/>
      <c r="AP33" s="681"/>
      <c r="AQ33" s="681"/>
      <c r="AR33" s="681"/>
      <c r="AS33" s="681"/>
      <c r="AT33" s="681"/>
      <c r="AU33" s="687"/>
      <c r="AV33" s="1018">
        <f t="shared" si="0"/>
        <v>107128.09</v>
      </c>
      <c r="AW33" s="1019">
        <f t="shared" si="0"/>
        <v>115876</v>
      </c>
      <c r="AX33" s="687"/>
      <c r="AY33" s="682"/>
      <c r="AZ33" s="682">
        <f t="shared" si="1"/>
        <v>107128.09</v>
      </c>
      <c r="BA33" s="682">
        <f t="shared" si="1"/>
        <v>115876</v>
      </c>
    </row>
    <row r="34" spans="1:53" ht="16.5" x14ac:dyDescent="0.3">
      <c r="A34" s="96" t="s">
        <v>334</v>
      </c>
      <c r="B34" s="96"/>
      <c r="C34" s="817"/>
      <c r="D34" s="688">
        <v>18836.13</v>
      </c>
      <c r="E34" s="681">
        <v>20784</v>
      </c>
      <c r="F34" s="681"/>
      <c r="G34" s="681"/>
      <c r="H34" s="681"/>
      <c r="I34" s="681"/>
      <c r="J34" s="681"/>
      <c r="K34" s="681"/>
      <c r="L34" s="681"/>
      <c r="M34" s="681"/>
      <c r="N34" s="681"/>
      <c r="O34" s="681"/>
      <c r="P34" s="681"/>
      <c r="Q34" s="681"/>
      <c r="R34" s="681"/>
      <c r="S34" s="681"/>
      <c r="T34" s="681"/>
      <c r="U34" s="681"/>
      <c r="V34" s="681"/>
      <c r="W34" s="681"/>
      <c r="X34" s="681">
        <v>135317.99</v>
      </c>
      <c r="Y34" s="681">
        <v>138332</v>
      </c>
      <c r="Z34" s="681"/>
      <c r="AA34" s="681"/>
      <c r="AB34" s="681"/>
      <c r="AC34" s="681"/>
      <c r="AD34" s="681"/>
      <c r="AE34" s="681"/>
      <c r="AF34" s="681">
        <v>298189.73</v>
      </c>
      <c r="AG34" s="681">
        <v>323692</v>
      </c>
      <c r="AH34" s="681">
        <v>64245</v>
      </c>
      <c r="AI34" s="681">
        <v>84109</v>
      </c>
      <c r="AJ34" s="681"/>
      <c r="AK34" s="681"/>
      <c r="AL34" s="681"/>
      <c r="AM34" s="681"/>
      <c r="AN34" s="681"/>
      <c r="AO34" s="681"/>
      <c r="AP34" s="681"/>
      <c r="AQ34" s="681"/>
      <c r="AR34" s="681"/>
      <c r="AS34" s="681"/>
      <c r="AT34" s="681"/>
      <c r="AU34" s="687"/>
      <c r="AV34" s="1018">
        <f t="shared" si="0"/>
        <v>516588.85</v>
      </c>
      <c r="AW34" s="1019">
        <f t="shared" si="0"/>
        <v>566917</v>
      </c>
      <c r="AX34" s="687"/>
      <c r="AY34" s="682"/>
      <c r="AZ34" s="682">
        <f t="shared" si="1"/>
        <v>516588.85</v>
      </c>
      <c r="BA34" s="682">
        <f t="shared" si="1"/>
        <v>566917</v>
      </c>
    </row>
    <row r="35" spans="1:53" ht="16.5" x14ac:dyDescent="0.3">
      <c r="A35" s="96" t="s">
        <v>73</v>
      </c>
      <c r="B35" s="96"/>
      <c r="C35" s="817"/>
      <c r="D35" s="688"/>
      <c r="E35" s="681"/>
      <c r="F35" s="681"/>
      <c r="G35" s="681"/>
      <c r="H35" s="681"/>
      <c r="I35" s="681"/>
      <c r="J35" s="681"/>
      <c r="K35" s="681"/>
      <c r="L35" s="681"/>
      <c r="M35" s="681"/>
      <c r="N35" s="681"/>
      <c r="O35" s="681"/>
      <c r="P35" s="681"/>
      <c r="Q35" s="681"/>
      <c r="R35" s="681"/>
      <c r="S35" s="681"/>
      <c r="T35" s="681"/>
      <c r="U35" s="681"/>
      <c r="V35" s="681"/>
      <c r="W35" s="681"/>
      <c r="X35" s="681"/>
      <c r="Y35" s="681"/>
      <c r="Z35" s="681"/>
      <c r="AA35" s="681"/>
      <c r="AB35" s="681"/>
      <c r="AC35" s="681"/>
      <c r="AD35" s="681"/>
      <c r="AE35" s="681"/>
      <c r="AF35" s="681"/>
      <c r="AG35" s="681"/>
      <c r="AH35" s="681"/>
      <c r="AI35" s="681"/>
      <c r="AJ35" s="681"/>
      <c r="AK35" s="681"/>
      <c r="AL35" s="681"/>
      <c r="AM35" s="681"/>
      <c r="AN35" s="681"/>
      <c r="AO35" s="681"/>
      <c r="AP35" s="681"/>
      <c r="AQ35" s="681"/>
      <c r="AR35" s="681"/>
      <c r="AS35" s="681"/>
      <c r="AT35" s="681">
        <v>-906.97</v>
      </c>
      <c r="AU35" s="687"/>
      <c r="AV35" s="1018">
        <f t="shared" si="0"/>
        <v>-906.97</v>
      </c>
      <c r="AW35" s="1019">
        <f t="shared" si="0"/>
        <v>0</v>
      </c>
      <c r="AX35" s="687"/>
      <c r="AY35" s="682"/>
      <c r="AZ35" s="682">
        <f t="shared" si="1"/>
        <v>-906.97</v>
      </c>
      <c r="BA35" s="682">
        <f t="shared" si="1"/>
        <v>0</v>
      </c>
    </row>
    <row r="36" spans="1:53" s="159" customFormat="1" ht="18" x14ac:dyDescent="0.35">
      <c r="A36" s="123" t="s">
        <v>347</v>
      </c>
      <c r="B36" s="123">
        <v>5086127</v>
      </c>
      <c r="C36" s="818">
        <v>5911867</v>
      </c>
      <c r="D36" s="819">
        <v>546314</v>
      </c>
      <c r="E36" s="821">
        <v>640099</v>
      </c>
      <c r="F36" s="821">
        <v>1220954.56</v>
      </c>
      <c r="G36" s="821">
        <v>1316436</v>
      </c>
      <c r="H36" s="821">
        <v>7443048.6900000004</v>
      </c>
      <c r="I36" s="821">
        <v>8591306</v>
      </c>
      <c r="J36" s="821">
        <v>1232230.55</v>
      </c>
      <c r="K36" s="821">
        <v>1457502</v>
      </c>
      <c r="L36" s="821">
        <v>2181249.5699999998</v>
      </c>
      <c r="M36" s="821">
        <v>2654851</v>
      </c>
      <c r="N36" s="821">
        <v>595510.77</v>
      </c>
      <c r="O36" s="821">
        <v>663481</v>
      </c>
      <c r="P36" s="821">
        <v>606827.94999999995</v>
      </c>
      <c r="Q36" s="821">
        <v>764997</v>
      </c>
      <c r="R36" s="821">
        <v>1912395.07</v>
      </c>
      <c r="S36" s="821">
        <v>2128308</v>
      </c>
      <c r="T36" s="821">
        <v>734061.88</v>
      </c>
      <c r="U36" s="821">
        <v>836046</v>
      </c>
      <c r="V36" s="821">
        <v>17306582.75</v>
      </c>
      <c r="W36" s="821">
        <v>20416053</v>
      </c>
      <c r="X36" s="821">
        <v>21348930.440000001</v>
      </c>
      <c r="Y36" s="821">
        <v>23918518</v>
      </c>
      <c r="Z36" s="821">
        <v>1227645.04</v>
      </c>
      <c r="AA36" s="821">
        <v>1408806</v>
      </c>
      <c r="AB36" s="821">
        <v>1729563.39</v>
      </c>
      <c r="AC36" s="821">
        <v>1945149</v>
      </c>
      <c r="AD36" s="821">
        <v>4621896.53</v>
      </c>
      <c r="AE36" s="821">
        <v>5525503</v>
      </c>
      <c r="AF36" s="821">
        <v>9122283.1899999995</v>
      </c>
      <c r="AG36" s="821">
        <v>10833352</v>
      </c>
      <c r="AH36" s="821">
        <v>2926099</v>
      </c>
      <c r="AI36" s="821">
        <v>3525335</v>
      </c>
      <c r="AJ36" s="821">
        <v>2493914.2599999998</v>
      </c>
      <c r="AK36" s="821">
        <v>2811431</v>
      </c>
      <c r="AL36" s="821"/>
      <c r="AM36" s="821"/>
      <c r="AN36" s="821">
        <v>22259206.780000001</v>
      </c>
      <c r="AO36" s="821">
        <v>26820720</v>
      </c>
      <c r="AP36" s="821">
        <v>663173.81000000006</v>
      </c>
      <c r="AQ36" s="821">
        <v>798540</v>
      </c>
      <c r="AR36" s="821">
        <v>1212499.95</v>
      </c>
      <c r="AS36" s="821">
        <v>1503212</v>
      </c>
      <c r="AT36" s="821">
        <v>4734353.8600000003</v>
      </c>
      <c r="AU36" s="822">
        <v>5879311</v>
      </c>
      <c r="AV36" s="1018">
        <f t="shared" si="0"/>
        <v>111204869.04000001</v>
      </c>
      <c r="AW36" s="1020">
        <f t="shared" si="0"/>
        <v>130350823</v>
      </c>
      <c r="AX36" s="822">
        <v>372890244.39999998</v>
      </c>
      <c r="AY36" s="820">
        <v>415934516</v>
      </c>
      <c r="AZ36" s="682">
        <f t="shared" si="1"/>
        <v>484095113.44</v>
      </c>
      <c r="BA36" s="820">
        <f t="shared" si="1"/>
        <v>546285339</v>
      </c>
    </row>
    <row r="37" spans="1:53" ht="16.5" x14ac:dyDescent="0.3">
      <c r="A37" s="123" t="s">
        <v>348</v>
      </c>
      <c r="B37" s="123"/>
      <c r="C37" s="817"/>
      <c r="D37" s="688"/>
      <c r="E37" s="681"/>
      <c r="F37" s="681"/>
      <c r="G37" s="681"/>
      <c r="H37" s="681"/>
      <c r="I37" s="681"/>
      <c r="J37" s="681"/>
      <c r="K37" s="681"/>
      <c r="L37" s="681"/>
      <c r="M37" s="681"/>
      <c r="N37" s="681"/>
      <c r="O37" s="681"/>
      <c r="P37" s="681"/>
      <c r="Q37" s="681"/>
      <c r="R37" s="681"/>
      <c r="S37" s="681"/>
      <c r="T37" s="681"/>
      <c r="U37" s="681"/>
      <c r="V37" s="681"/>
      <c r="W37" s="681"/>
      <c r="X37" s="681"/>
      <c r="Y37" s="681"/>
      <c r="Z37" s="681"/>
      <c r="AA37" s="681"/>
      <c r="AB37" s="681"/>
      <c r="AC37" s="681"/>
      <c r="AD37" s="681"/>
      <c r="AE37" s="681"/>
      <c r="AF37" s="681"/>
      <c r="AG37" s="681"/>
      <c r="AH37" s="681"/>
      <c r="AI37" s="681"/>
      <c r="AJ37" s="681"/>
      <c r="AK37" s="681"/>
      <c r="AL37" s="681"/>
      <c r="AM37" s="681"/>
      <c r="AN37" s="681"/>
      <c r="AO37" s="681"/>
      <c r="AP37" s="681"/>
      <c r="AQ37" s="681"/>
      <c r="AR37" s="681"/>
      <c r="AS37" s="681"/>
      <c r="AT37" s="681"/>
      <c r="AU37" s="687"/>
      <c r="AV37" s="1018">
        <f t="shared" ref="AV37:AV69" si="4">SUM(B37+D37+F37+H37+J37+L37+N37+P37+R37+T37+V37+X37+Z37+AB37+AD37+AF37+AH37+AJ37+AL37+AN37+AP37+AR37+AT37)</f>
        <v>0</v>
      </c>
      <c r="AW37" s="1019">
        <f t="shared" ref="AW37:AW68" si="5">SUM(C37+E37+G37+I37+K37+M37+O37+Q37+S37+U37+W37+Y37+AA37+AC37+AE37+AG37+AI37+AK37+AM37+AO37+AQ37+AS37+AU37)</f>
        <v>0</v>
      </c>
      <c r="AX37" s="687"/>
      <c r="AY37" s="682"/>
      <c r="AZ37" s="682">
        <f t="shared" si="1"/>
        <v>0</v>
      </c>
      <c r="BA37" s="682">
        <f t="shared" si="1"/>
        <v>0</v>
      </c>
    </row>
    <row r="38" spans="1:53" ht="16.5" x14ac:dyDescent="0.3">
      <c r="A38" s="123" t="s">
        <v>349</v>
      </c>
      <c r="B38" s="123"/>
      <c r="C38" s="817"/>
      <c r="D38" s="688"/>
      <c r="E38" s="681"/>
      <c r="F38" s="681"/>
      <c r="G38" s="681"/>
      <c r="H38" s="681"/>
      <c r="I38" s="681"/>
      <c r="J38" s="681"/>
      <c r="K38" s="681"/>
      <c r="L38" s="681"/>
      <c r="M38" s="681"/>
      <c r="N38" s="681"/>
      <c r="O38" s="681"/>
      <c r="P38" s="681"/>
      <c r="Q38" s="681"/>
      <c r="R38" s="681"/>
      <c r="S38" s="681"/>
      <c r="T38" s="681"/>
      <c r="U38" s="681"/>
      <c r="V38" s="681"/>
      <c r="W38" s="681"/>
      <c r="X38" s="681"/>
      <c r="Y38" s="681"/>
      <c r="Z38" s="681"/>
      <c r="AA38" s="681"/>
      <c r="AB38" s="681"/>
      <c r="AC38" s="681"/>
      <c r="AD38" s="681"/>
      <c r="AE38" s="681"/>
      <c r="AF38" s="681"/>
      <c r="AG38" s="681"/>
      <c r="AH38" s="681"/>
      <c r="AI38" s="681"/>
      <c r="AJ38" s="681"/>
      <c r="AK38" s="681"/>
      <c r="AL38" s="681"/>
      <c r="AM38" s="681"/>
      <c r="AN38" s="681"/>
      <c r="AO38" s="681"/>
      <c r="AP38" s="681"/>
      <c r="AQ38" s="681"/>
      <c r="AR38" s="681"/>
      <c r="AS38" s="681"/>
      <c r="AT38" s="681"/>
      <c r="AU38" s="687"/>
      <c r="AV38" s="1018">
        <f t="shared" si="4"/>
        <v>0</v>
      </c>
      <c r="AW38" s="1019">
        <f t="shared" si="5"/>
        <v>0</v>
      </c>
      <c r="AX38" s="687"/>
      <c r="AY38" s="682"/>
      <c r="AZ38" s="682">
        <f t="shared" si="1"/>
        <v>0</v>
      </c>
      <c r="BA38" s="682">
        <f t="shared" si="1"/>
        <v>0</v>
      </c>
    </row>
    <row r="39" spans="1:53" ht="16.5" x14ac:dyDescent="0.3">
      <c r="A39" s="96" t="s">
        <v>350</v>
      </c>
      <c r="B39" s="96">
        <v>244455.14</v>
      </c>
      <c r="C39" s="817">
        <v>292148</v>
      </c>
      <c r="D39" s="688">
        <v>3974.33</v>
      </c>
      <c r="E39" s="681">
        <v>9775</v>
      </c>
      <c r="F39" s="681">
        <v>64121.67</v>
      </c>
      <c r="G39" s="681">
        <v>50509</v>
      </c>
      <c r="H39" s="681">
        <v>1005752.76</v>
      </c>
      <c r="I39" s="681">
        <v>1100132</v>
      </c>
      <c r="J39" s="681">
        <v>52848.42</v>
      </c>
      <c r="K39" s="681">
        <v>55375</v>
      </c>
      <c r="L39" s="681">
        <v>120836.41</v>
      </c>
      <c r="M39" s="681">
        <v>126429</v>
      </c>
      <c r="N39" s="681">
        <v>84811.83</v>
      </c>
      <c r="O39" s="681">
        <v>76655</v>
      </c>
      <c r="P39" s="681">
        <v>23802.55</v>
      </c>
      <c r="Q39" s="681">
        <v>34411</v>
      </c>
      <c r="R39" s="681">
        <v>110722.75</v>
      </c>
      <c r="S39" s="681">
        <v>118297</v>
      </c>
      <c r="T39" s="681">
        <v>16846.66</v>
      </c>
      <c r="U39" s="681">
        <v>19917</v>
      </c>
      <c r="V39" s="681">
        <v>854211.41</v>
      </c>
      <c r="W39" s="681">
        <v>1523790</v>
      </c>
      <c r="X39" s="681">
        <v>1008071.39</v>
      </c>
      <c r="Y39" s="681">
        <v>984688</v>
      </c>
      <c r="Z39" s="681">
        <v>70377.070000000007</v>
      </c>
      <c r="AA39" s="681">
        <v>71515</v>
      </c>
      <c r="AB39" s="681">
        <v>62024.59</v>
      </c>
      <c r="AC39" s="681">
        <v>57569</v>
      </c>
      <c r="AD39" s="681">
        <v>347616.13</v>
      </c>
      <c r="AE39" s="681">
        <v>376254</v>
      </c>
      <c r="AF39" s="681">
        <v>384837.28</v>
      </c>
      <c r="AG39" s="681">
        <v>514770</v>
      </c>
      <c r="AH39" s="681">
        <v>136408</v>
      </c>
      <c r="AI39" s="681">
        <v>171936</v>
      </c>
      <c r="AJ39" s="681">
        <v>125338.05</v>
      </c>
      <c r="AK39" s="681">
        <v>130136</v>
      </c>
      <c r="AL39" s="681"/>
      <c r="AM39" s="681"/>
      <c r="AN39" s="681">
        <v>860470.92</v>
      </c>
      <c r="AO39" s="681">
        <v>1007582</v>
      </c>
      <c r="AP39" s="681">
        <v>63477.47</v>
      </c>
      <c r="AQ39" s="681">
        <v>67982</v>
      </c>
      <c r="AR39" s="681">
        <v>57275.23</v>
      </c>
      <c r="AS39" s="681">
        <v>65041</v>
      </c>
      <c r="AT39" s="681">
        <v>213596.05</v>
      </c>
      <c r="AU39" s="687">
        <v>221893</v>
      </c>
      <c r="AV39" s="1018">
        <f t="shared" si="4"/>
        <v>5911876.1099999994</v>
      </c>
      <c r="AW39" s="1019">
        <f t="shared" si="5"/>
        <v>7076804</v>
      </c>
      <c r="AX39" s="687">
        <v>71356.67</v>
      </c>
      <c r="AY39" s="682">
        <v>641213</v>
      </c>
      <c r="AZ39" s="682">
        <f t="shared" si="1"/>
        <v>5983232.7799999993</v>
      </c>
      <c r="BA39" s="682">
        <f t="shared" si="1"/>
        <v>7718017</v>
      </c>
    </row>
    <row r="40" spans="1:53" ht="16.5" x14ac:dyDescent="0.3">
      <c r="A40" s="96" t="s">
        <v>351</v>
      </c>
      <c r="B40" s="96">
        <v>2220319.9500000002</v>
      </c>
      <c r="C40" s="817">
        <v>2771406</v>
      </c>
      <c r="D40" s="688">
        <v>204746.69</v>
      </c>
      <c r="E40" s="681">
        <v>252939</v>
      </c>
      <c r="F40" s="681">
        <v>650788.26</v>
      </c>
      <c r="G40" s="681">
        <v>731052</v>
      </c>
      <c r="H40" s="681">
        <v>3485970.09</v>
      </c>
      <c r="I40" s="681">
        <v>4119487</v>
      </c>
      <c r="J40" s="681">
        <v>744497.2</v>
      </c>
      <c r="K40" s="681">
        <v>875951</v>
      </c>
      <c r="L40" s="681">
        <v>890972.88</v>
      </c>
      <c r="M40" s="681">
        <v>1203181</v>
      </c>
      <c r="N40" s="681">
        <v>434537.41</v>
      </c>
      <c r="O40" s="681">
        <v>498514</v>
      </c>
      <c r="P40" s="681">
        <v>263173.69</v>
      </c>
      <c r="Q40" s="681">
        <v>343456</v>
      </c>
      <c r="R40" s="681">
        <v>1436541.38</v>
      </c>
      <c r="S40" s="681">
        <v>1618742</v>
      </c>
      <c r="T40" s="681">
        <v>429295.07</v>
      </c>
      <c r="U40" s="681">
        <v>506187</v>
      </c>
      <c r="V40" s="681">
        <v>9053783.4199999999</v>
      </c>
      <c r="W40" s="681">
        <v>10831097</v>
      </c>
      <c r="X40" s="681">
        <v>6357256.0099999998</v>
      </c>
      <c r="Y40" s="681">
        <v>7738800</v>
      </c>
      <c r="Z40" s="681">
        <v>748593.26</v>
      </c>
      <c r="AA40" s="681">
        <v>865767</v>
      </c>
      <c r="AB40" s="681">
        <v>1036591.22</v>
      </c>
      <c r="AC40" s="681">
        <v>1096298</v>
      </c>
      <c r="AD40" s="681">
        <v>2360423.15</v>
      </c>
      <c r="AE40" s="681">
        <v>2903220</v>
      </c>
      <c r="AF40" s="681">
        <v>5818465.4900000002</v>
      </c>
      <c r="AG40" s="681">
        <v>6891871</v>
      </c>
      <c r="AH40" s="681">
        <v>1992406</v>
      </c>
      <c r="AI40" s="681">
        <v>2457843</v>
      </c>
      <c r="AJ40" s="681">
        <v>1705677.51</v>
      </c>
      <c r="AK40" s="681">
        <v>1941825</v>
      </c>
      <c r="AL40" s="681"/>
      <c r="AM40" s="681"/>
      <c r="AN40" s="681">
        <v>9393643.7799999993</v>
      </c>
      <c r="AO40" s="681">
        <v>11213066</v>
      </c>
      <c r="AP40" s="681">
        <v>512629.52</v>
      </c>
      <c r="AQ40" s="681">
        <v>653347</v>
      </c>
      <c r="AR40" s="681">
        <v>856239.32</v>
      </c>
      <c r="AS40" s="681">
        <v>1117421</v>
      </c>
      <c r="AT40" s="681">
        <v>2771100.18</v>
      </c>
      <c r="AU40" s="687">
        <v>3629792</v>
      </c>
      <c r="AV40" s="1018">
        <f t="shared" si="4"/>
        <v>53367651.479999997</v>
      </c>
      <c r="AW40" s="1019">
        <f t="shared" si="5"/>
        <v>64261262</v>
      </c>
      <c r="AX40" s="687">
        <v>348765485.69999999</v>
      </c>
      <c r="AY40" s="682">
        <v>389569349</v>
      </c>
      <c r="AZ40" s="682">
        <f t="shared" si="1"/>
        <v>402133137.18000001</v>
      </c>
      <c r="BA40" s="682">
        <f t="shared" si="1"/>
        <v>453830611</v>
      </c>
    </row>
    <row r="41" spans="1:53" ht="16.5" x14ac:dyDescent="0.3">
      <c r="A41" s="96" t="s">
        <v>352</v>
      </c>
      <c r="B41" s="96">
        <v>2796733.81</v>
      </c>
      <c r="C41" s="817">
        <v>3016019</v>
      </c>
      <c r="D41" s="688">
        <v>101569.96</v>
      </c>
      <c r="E41" s="681">
        <v>104670</v>
      </c>
      <c r="F41" s="681">
        <v>361369.34</v>
      </c>
      <c r="G41" s="681">
        <v>373092</v>
      </c>
      <c r="H41" s="681">
        <v>2856097.64</v>
      </c>
      <c r="I41" s="681">
        <v>3322261</v>
      </c>
      <c r="J41" s="681">
        <v>140033.69</v>
      </c>
      <c r="K41" s="681">
        <v>171154</v>
      </c>
      <c r="L41" s="681">
        <v>1170972.8799999999</v>
      </c>
      <c r="M41" s="681">
        <v>1299818</v>
      </c>
      <c r="N41" s="681">
        <v>40666.54</v>
      </c>
      <c r="O41" s="681">
        <v>41115</v>
      </c>
      <c r="P41" s="681">
        <v>134880.20000000001</v>
      </c>
      <c r="Q41" s="681">
        <v>170655</v>
      </c>
      <c r="R41" s="681">
        <v>214779.47</v>
      </c>
      <c r="S41" s="681">
        <v>231204</v>
      </c>
      <c r="T41" s="681">
        <v>68094.91</v>
      </c>
      <c r="U41" s="681">
        <v>73240</v>
      </c>
      <c r="V41" s="681">
        <v>7475949.4500000002</v>
      </c>
      <c r="W41" s="681">
        <v>8062154</v>
      </c>
      <c r="X41" s="681">
        <v>13854914.310000001</v>
      </c>
      <c r="Y41" s="681">
        <v>15086630</v>
      </c>
      <c r="Z41" s="681">
        <v>352173.17</v>
      </c>
      <c r="AA41" s="681">
        <v>414373</v>
      </c>
      <c r="AB41" s="681">
        <v>590570.09</v>
      </c>
      <c r="AC41" s="681">
        <v>717768</v>
      </c>
      <c r="AD41" s="681">
        <v>1937338.69</v>
      </c>
      <c r="AE41" s="681">
        <v>2269390</v>
      </c>
      <c r="AF41" s="681">
        <v>2837361.72</v>
      </c>
      <c r="AG41" s="681">
        <v>3344318</v>
      </c>
      <c r="AH41" s="681">
        <v>696246</v>
      </c>
      <c r="AI41" s="681">
        <v>808110</v>
      </c>
      <c r="AJ41" s="681">
        <v>607239.67000000004</v>
      </c>
      <c r="AK41" s="681">
        <v>689889</v>
      </c>
      <c r="AL41" s="681"/>
      <c r="AM41" s="681"/>
      <c r="AN41" s="681">
        <v>11621501.859999999</v>
      </c>
      <c r="AO41" s="681">
        <v>14262531</v>
      </c>
      <c r="AP41" s="681">
        <v>50023.97</v>
      </c>
      <c r="AQ41" s="681">
        <v>46957</v>
      </c>
      <c r="AR41" s="681">
        <v>255824.89</v>
      </c>
      <c r="AS41" s="681">
        <v>269941</v>
      </c>
      <c r="AT41" s="681">
        <v>1643438.56</v>
      </c>
      <c r="AU41" s="687">
        <v>2005279</v>
      </c>
      <c r="AV41" s="1018">
        <f t="shared" si="4"/>
        <v>49807780.820000008</v>
      </c>
      <c r="AW41" s="1019">
        <f t="shared" si="5"/>
        <v>56780568</v>
      </c>
      <c r="AX41" s="687">
        <v>3294950.15</v>
      </c>
      <c r="AY41" s="682">
        <v>2393863</v>
      </c>
      <c r="AZ41" s="682">
        <f t="shared" si="1"/>
        <v>53102730.970000006</v>
      </c>
      <c r="BA41" s="682">
        <f t="shared" si="1"/>
        <v>59174431</v>
      </c>
    </row>
    <row r="42" spans="1:53" ht="16.5" x14ac:dyDescent="0.3">
      <c r="A42" s="96" t="s">
        <v>353</v>
      </c>
      <c r="B42" s="96"/>
      <c r="C42" s="817"/>
      <c r="D42" s="688"/>
      <c r="E42" s="681"/>
      <c r="F42" s="681"/>
      <c r="G42" s="681"/>
      <c r="H42" s="681"/>
      <c r="I42" s="681"/>
      <c r="J42" s="681"/>
      <c r="K42" s="681"/>
      <c r="L42" s="681"/>
      <c r="M42" s="681"/>
      <c r="N42" s="681"/>
      <c r="O42" s="681"/>
      <c r="P42" s="681"/>
      <c r="Q42" s="681"/>
      <c r="R42" s="681"/>
      <c r="S42" s="681"/>
      <c r="T42" s="681"/>
      <c r="U42" s="681"/>
      <c r="V42" s="681"/>
      <c r="W42" s="681"/>
      <c r="X42" s="681"/>
      <c r="Y42" s="681"/>
      <c r="Z42" s="681"/>
      <c r="AA42" s="681"/>
      <c r="AB42" s="681"/>
      <c r="AC42" s="681"/>
      <c r="AD42" s="681"/>
      <c r="AE42" s="681"/>
      <c r="AF42" s="681"/>
      <c r="AG42" s="681"/>
      <c r="AH42" s="681"/>
      <c r="AI42" s="681"/>
      <c r="AJ42" s="681"/>
      <c r="AK42" s="681"/>
      <c r="AL42" s="681"/>
      <c r="AM42" s="681"/>
      <c r="AN42" s="681"/>
      <c r="AO42" s="681"/>
      <c r="AP42" s="681"/>
      <c r="AQ42" s="681"/>
      <c r="AR42" s="681"/>
      <c r="AS42" s="681"/>
      <c r="AT42" s="681"/>
      <c r="AU42" s="687"/>
      <c r="AV42" s="1018">
        <f t="shared" si="4"/>
        <v>0</v>
      </c>
      <c r="AW42" s="1019">
        <f t="shared" si="5"/>
        <v>0</v>
      </c>
      <c r="AX42" s="687"/>
      <c r="AY42" s="682"/>
      <c r="AZ42" s="682">
        <f t="shared" si="1"/>
        <v>0</v>
      </c>
      <c r="BA42" s="682">
        <f t="shared" si="1"/>
        <v>0</v>
      </c>
    </row>
    <row r="43" spans="1:53" ht="16.5" x14ac:dyDescent="0.3">
      <c r="A43" s="96" t="s">
        <v>354</v>
      </c>
      <c r="B43" s="96">
        <v>21494.61</v>
      </c>
      <c r="C43" s="817">
        <v>29406</v>
      </c>
      <c r="D43" s="688">
        <v>7027.43</v>
      </c>
      <c r="E43" s="681">
        <v>7521</v>
      </c>
      <c r="F43" s="681"/>
      <c r="G43" s="681"/>
      <c r="H43" s="681">
        <v>46603.3</v>
      </c>
      <c r="I43" s="681">
        <v>51495</v>
      </c>
      <c r="J43" s="681">
        <v>2502</v>
      </c>
      <c r="K43" s="681">
        <v>3300</v>
      </c>
      <c r="L43" s="681">
        <v>333.54</v>
      </c>
      <c r="M43" s="681">
        <v>826</v>
      </c>
      <c r="N43" s="681">
        <v>6337.86</v>
      </c>
      <c r="O43" s="681">
        <v>9096</v>
      </c>
      <c r="P43" s="681">
        <v>1479.85</v>
      </c>
      <c r="Q43" s="681">
        <v>2087</v>
      </c>
      <c r="R43" s="681">
        <v>53324.85</v>
      </c>
      <c r="S43" s="681">
        <v>62910</v>
      </c>
      <c r="T43" s="681">
        <v>2641.35</v>
      </c>
      <c r="U43" s="681">
        <v>4112</v>
      </c>
      <c r="V43" s="681">
        <v>42404.91</v>
      </c>
      <c r="W43" s="681">
        <v>64283</v>
      </c>
      <c r="X43" s="681">
        <v>66282.06</v>
      </c>
      <c r="Y43" s="681">
        <v>94012</v>
      </c>
      <c r="Z43" s="681">
        <v>980.54</v>
      </c>
      <c r="AA43" s="681">
        <v>1395</v>
      </c>
      <c r="AB43" s="681">
        <v>1434.82</v>
      </c>
      <c r="AC43" s="681">
        <v>2322</v>
      </c>
      <c r="AD43" s="681">
        <v>6428.98</v>
      </c>
      <c r="AE43" s="681">
        <v>7397</v>
      </c>
      <c r="AF43" s="681">
        <v>53222.46</v>
      </c>
      <c r="AG43" s="681">
        <v>66607</v>
      </c>
      <c r="AH43" s="681">
        <v>9209</v>
      </c>
      <c r="AI43" s="681">
        <v>16288</v>
      </c>
      <c r="AJ43" s="681">
        <v>6354.62</v>
      </c>
      <c r="AK43" s="681">
        <v>8213</v>
      </c>
      <c r="AL43" s="681"/>
      <c r="AM43" s="681"/>
      <c r="AN43" s="681">
        <v>35807.81</v>
      </c>
      <c r="AO43" s="681">
        <v>36269</v>
      </c>
      <c r="AP43" s="681">
        <v>6303.49</v>
      </c>
      <c r="AQ43" s="681">
        <v>8884</v>
      </c>
      <c r="AR43" s="681">
        <v>1290.71</v>
      </c>
      <c r="AS43" s="681">
        <v>1690</v>
      </c>
      <c r="AT43" s="681">
        <v>46867.45</v>
      </c>
      <c r="AU43" s="687">
        <v>50632</v>
      </c>
      <c r="AV43" s="1018">
        <f t="shared" si="4"/>
        <v>418331.64000000007</v>
      </c>
      <c r="AW43" s="1019">
        <f t="shared" si="5"/>
        <v>528745</v>
      </c>
      <c r="AX43" s="687">
        <v>10778333.76</v>
      </c>
      <c r="AY43" s="682">
        <v>10987563</v>
      </c>
      <c r="AZ43" s="682">
        <f t="shared" si="1"/>
        <v>11196665.4</v>
      </c>
      <c r="BA43" s="682">
        <f t="shared" si="1"/>
        <v>11516308</v>
      </c>
    </row>
    <row r="44" spans="1:53" ht="16.5" x14ac:dyDescent="0.3">
      <c r="A44" s="96" t="s">
        <v>355</v>
      </c>
      <c r="B44" s="96">
        <v>9705.4500000000007</v>
      </c>
      <c r="C44" s="817">
        <v>11922</v>
      </c>
      <c r="D44" s="688">
        <v>9787.7000000000007</v>
      </c>
      <c r="E44" s="681">
        <v>7312</v>
      </c>
      <c r="F44" s="681">
        <v>1411.13</v>
      </c>
      <c r="G44" s="681">
        <v>1088</v>
      </c>
      <c r="H44" s="681">
        <v>36472.370000000003</v>
      </c>
      <c r="I44" s="681">
        <v>39454</v>
      </c>
      <c r="J44" s="681">
        <v>2078.96</v>
      </c>
      <c r="K44" s="681">
        <v>8357</v>
      </c>
      <c r="L44" s="681">
        <v>4427.24</v>
      </c>
      <c r="M44" s="681">
        <v>4577</v>
      </c>
      <c r="N44" s="681">
        <v>2661.84</v>
      </c>
      <c r="O44" s="681">
        <v>1682</v>
      </c>
      <c r="P44" s="681">
        <v>9246.11</v>
      </c>
      <c r="Q44" s="681">
        <v>7996</v>
      </c>
      <c r="R44" s="681">
        <v>3183.55</v>
      </c>
      <c r="S44" s="681">
        <v>2537</v>
      </c>
      <c r="T44" s="681">
        <v>7929.81</v>
      </c>
      <c r="U44" s="681">
        <v>5710</v>
      </c>
      <c r="V44" s="681">
        <v>34014.879999999997</v>
      </c>
      <c r="W44" s="681">
        <v>34274</v>
      </c>
      <c r="X44" s="681">
        <v>45734.67</v>
      </c>
      <c r="Y44" s="681">
        <v>48778</v>
      </c>
      <c r="Z44" s="681">
        <v>12855.01</v>
      </c>
      <c r="AA44" s="681">
        <v>13951</v>
      </c>
      <c r="AB44" s="681">
        <v>2741.44</v>
      </c>
      <c r="AC44" s="681">
        <v>1916</v>
      </c>
      <c r="AD44" s="681">
        <v>8444.81</v>
      </c>
      <c r="AE44" s="681">
        <v>8354</v>
      </c>
      <c r="AF44" s="681">
        <v>22132.16</v>
      </c>
      <c r="AG44" s="681">
        <v>26040</v>
      </c>
      <c r="AH44" s="681">
        <v>12185</v>
      </c>
      <c r="AI44" s="681">
        <v>11853</v>
      </c>
      <c r="AJ44" s="681">
        <v>6013.38</v>
      </c>
      <c r="AK44" s="681">
        <v>5881</v>
      </c>
      <c r="AL44" s="681"/>
      <c r="AM44" s="681"/>
      <c r="AN44" s="681">
        <v>56543.09</v>
      </c>
      <c r="AO44" s="681">
        <v>52677</v>
      </c>
      <c r="AP44" s="681">
        <v>6517.53</v>
      </c>
      <c r="AQ44" s="681">
        <v>5259</v>
      </c>
      <c r="AR44" s="681">
        <v>2593.06</v>
      </c>
      <c r="AS44" s="681">
        <v>3631</v>
      </c>
      <c r="AT44" s="681">
        <v>19158.849999999999</v>
      </c>
      <c r="AU44" s="687">
        <v>26113</v>
      </c>
      <c r="AV44" s="1018">
        <f t="shared" si="4"/>
        <v>315838.04000000004</v>
      </c>
      <c r="AW44" s="1019">
        <f t="shared" si="5"/>
        <v>329362</v>
      </c>
      <c r="AX44" s="687">
        <v>345338.62</v>
      </c>
      <c r="AY44" s="682">
        <v>355202</v>
      </c>
      <c r="AZ44" s="682">
        <f t="shared" si="1"/>
        <v>661176.66</v>
      </c>
      <c r="BA44" s="682">
        <f t="shared" si="1"/>
        <v>684564</v>
      </c>
    </row>
    <row r="45" spans="1:53" ht="16.5" x14ac:dyDescent="0.3">
      <c r="A45" s="123" t="s">
        <v>356</v>
      </c>
      <c r="B45" s="123"/>
      <c r="C45" s="817"/>
      <c r="D45" s="688"/>
      <c r="E45" s="681"/>
      <c r="F45" s="681"/>
      <c r="G45" s="681"/>
      <c r="H45" s="681"/>
      <c r="I45" s="681"/>
      <c r="J45" s="681"/>
      <c r="K45" s="681"/>
      <c r="L45" s="681"/>
      <c r="M45" s="681"/>
      <c r="N45" s="681"/>
      <c r="O45" s="681"/>
      <c r="P45" s="681"/>
      <c r="Q45" s="681"/>
      <c r="R45" s="681"/>
      <c r="S45" s="681"/>
      <c r="T45" s="681"/>
      <c r="U45" s="681"/>
      <c r="V45" s="681"/>
      <c r="W45" s="681"/>
      <c r="X45" s="681"/>
      <c r="Y45" s="681"/>
      <c r="Z45" s="681"/>
      <c r="AA45" s="681"/>
      <c r="AB45" s="681"/>
      <c r="AC45" s="681"/>
      <c r="AD45" s="681"/>
      <c r="AE45" s="681"/>
      <c r="AF45" s="681"/>
      <c r="AG45" s="681"/>
      <c r="AH45" s="681"/>
      <c r="AI45" s="681"/>
      <c r="AJ45" s="681"/>
      <c r="AK45" s="681"/>
      <c r="AL45" s="681"/>
      <c r="AM45" s="681"/>
      <c r="AN45" s="681"/>
      <c r="AO45" s="681"/>
      <c r="AP45" s="681"/>
      <c r="AQ45" s="681"/>
      <c r="AR45" s="681"/>
      <c r="AS45" s="681"/>
      <c r="AT45" s="681"/>
      <c r="AU45" s="687"/>
      <c r="AV45" s="1018">
        <f t="shared" si="4"/>
        <v>0</v>
      </c>
      <c r="AW45" s="1019">
        <f t="shared" si="5"/>
        <v>0</v>
      </c>
      <c r="AX45" s="687"/>
      <c r="AY45" s="682"/>
      <c r="AZ45" s="682">
        <f t="shared" si="1"/>
        <v>0</v>
      </c>
      <c r="BA45" s="682">
        <f t="shared" si="1"/>
        <v>0</v>
      </c>
    </row>
    <row r="46" spans="1:53" ht="16.5" x14ac:dyDescent="0.3">
      <c r="A46" s="123" t="s">
        <v>357</v>
      </c>
      <c r="B46" s="123"/>
      <c r="C46" s="817"/>
      <c r="D46" s="688"/>
      <c r="E46" s="681"/>
      <c r="F46" s="681"/>
      <c r="G46" s="681"/>
      <c r="H46" s="681"/>
      <c r="I46" s="681"/>
      <c r="J46" s="681"/>
      <c r="K46" s="681"/>
      <c r="L46" s="681"/>
      <c r="M46" s="681"/>
      <c r="N46" s="681">
        <v>1980.28</v>
      </c>
      <c r="O46" s="681">
        <v>1876</v>
      </c>
      <c r="P46" s="681"/>
      <c r="Q46" s="681"/>
      <c r="R46" s="681">
        <v>239.72</v>
      </c>
      <c r="S46" s="681"/>
      <c r="T46" s="681"/>
      <c r="U46" s="681"/>
      <c r="V46" s="681"/>
      <c r="W46" s="681"/>
      <c r="X46" s="681"/>
      <c r="Y46" s="681">
        <v>85</v>
      </c>
      <c r="Z46" s="681"/>
      <c r="AA46" s="681"/>
      <c r="AB46" s="681"/>
      <c r="AC46" s="681"/>
      <c r="AD46" s="681"/>
      <c r="AE46" s="681"/>
      <c r="AF46" s="681"/>
      <c r="AG46" s="681"/>
      <c r="AH46" s="681"/>
      <c r="AI46" s="681"/>
      <c r="AJ46" s="681"/>
      <c r="AK46" s="681"/>
      <c r="AL46" s="681"/>
      <c r="AM46" s="681"/>
      <c r="AN46" s="681"/>
      <c r="AO46" s="681"/>
      <c r="AP46" s="681"/>
      <c r="AQ46" s="681"/>
      <c r="AR46" s="681"/>
      <c r="AS46" s="681"/>
      <c r="AT46" s="681"/>
      <c r="AU46" s="687"/>
      <c r="AV46" s="1018">
        <f t="shared" si="4"/>
        <v>2220</v>
      </c>
      <c r="AW46" s="1019">
        <f t="shared" si="5"/>
        <v>1961</v>
      </c>
      <c r="AX46" s="687"/>
      <c r="AY46" s="682"/>
      <c r="AZ46" s="682">
        <f t="shared" si="1"/>
        <v>2220</v>
      </c>
      <c r="BA46" s="682">
        <f t="shared" si="1"/>
        <v>1961</v>
      </c>
    </row>
    <row r="47" spans="1:53" ht="16.5" x14ac:dyDescent="0.3">
      <c r="A47" s="96" t="s">
        <v>358</v>
      </c>
      <c r="B47" s="96">
        <v>62715</v>
      </c>
      <c r="C47" s="817">
        <v>70494</v>
      </c>
      <c r="D47" s="688">
        <v>3847.52</v>
      </c>
      <c r="E47" s="681">
        <v>2923</v>
      </c>
      <c r="F47" s="681">
        <v>7363.29</v>
      </c>
      <c r="G47" s="681">
        <v>6613</v>
      </c>
      <c r="H47" s="681">
        <v>39450.879999999997</v>
      </c>
      <c r="I47" s="681">
        <v>30141</v>
      </c>
      <c r="J47" s="681">
        <v>9286.9599999999991</v>
      </c>
      <c r="K47" s="681">
        <v>18534</v>
      </c>
      <c r="L47" s="681">
        <v>27156.42</v>
      </c>
      <c r="M47" s="681">
        <v>24026</v>
      </c>
      <c r="N47" s="681">
        <v>4813.33</v>
      </c>
      <c r="O47" s="681">
        <v>5018</v>
      </c>
      <c r="P47" s="681">
        <v>9509.5499999999993</v>
      </c>
      <c r="Q47" s="681">
        <v>10338</v>
      </c>
      <c r="R47" s="681">
        <v>28977.599999999999</v>
      </c>
      <c r="S47" s="681">
        <v>26127</v>
      </c>
      <c r="T47" s="681">
        <v>10934.21</v>
      </c>
      <c r="U47" s="681">
        <v>13703</v>
      </c>
      <c r="V47" s="681">
        <v>103555.95</v>
      </c>
      <c r="W47" s="681">
        <v>108656</v>
      </c>
      <c r="X47" s="681">
        <v>55834.18</v>
      </c>
      <c r="Y47" s="681">
        <v>67093</v>
      </c>
      <c r="Z47" s="681">
        <v>9624.8799999999992</v>
      </c>
      <c r="AA47" s="681">
        <v>17299</v>
      </c>
      <c r="AB47" s="681">
        <v>19648.259999999998</v>
      </c>
      <c r="AC47" s="681">
        <v>25597</v>
      </c>
      <c r="AD47" s="681">
        <v>48698.81</v>
      </c>
      <c r="AE47" s="681">
        <v>57945</v>
      </c>
      <c r="AF47" s="681">
        <v>57923.42</v>
      </c>
      <c r="AG47" s="681">
        <v>66169</v>
      </c>
      <c r="AH47" s="681">
        <v>26670</v>
      </c>
      <c r="AI47" s="681">
        <v>16332</v>
      </c>
      <c r="AJ47" s="681">
        <v>29411.49</v>
      </c>
      <c r="AK47" s="681">
        <v>20672</v>
      </c>
      <c r="AL47" s="681"/>
      <c r="AM47" s="681"/>
      <c r="AN47" s="681">
        <v>271051.84999999998</v>
      </c>
      <c r="AO47" s="681">
        <v>320422</v>
      </c>
      <c r="AP47" s="681">
        <v>19600.990000000002</v>
      </c>
      <c r="AQ47" s="681">
        <v>21728</v>
      </c>
      <c r="AR47" s="681">
        <v>18841.400000000001</v>
      </c>
      <c r="AS47" s="681">
        <v>14208</v>
      </c>
      <c r="AT47" s="681">
        <v>60447.6</v>
      </c>
      <c r="AU47" s="687">
        <v>39868</v>
      </c>
      <c r="AV47" s="1018">
        <f t="shared" si="4"/>
        <v>925363.59</v>
      </c>
      <c r="AW47" s="1019">
        <f t="shared" si="5"/>
        <v>983906</v>
      </c>
      <c r="AX47" s="687">
        <v>3029325.45</v>
      </c>
      <c r="AY47" s="682">
        <v>3743214</v>
      </c>
      <c r="AZ47" s="682">
        <f t="shared" si="1"/>
        <v>3954689.04</v>
      </c>
      <c r="BA47" s="682">
        <f t="shared" si="1"/>
        <v>4727120</v>
      </c>
    </row>
    <row r="48" spans="1:53" ht="16.5" x14ac:dyDescent="0.3">
      <c r="A48" s="96" t="s">
        <v>359</v>
      </c>
      <c r="B48" s="96">
        <v>147326</v>
      </c>
      <c r="C48" s="817">
        <v>176948</v>
      </c>
      <c r="D48" s="688">
        <v>15140.07</v>
      </c>
      <c r="E48" s="681">
        <v>14334</v>
      </c>
      <c r="F48" s="681">
        <v>46162.04</v>
      </c>
      <c r="G48" s="681">
        <v>44917</v>
      </c>
      <c r="H48" s="681">
        <v>175245.94</v>
      </c>
      <c r="I48" s="681">
        <v>217753</v>
      </c>
      <c r="J48" s="681">
        <v>45243</v>
      </c>
      <c r="K48" s="681">
        <v>47156</v>
      </c>
      <c r="L48" s="681">
        <v>39593.11</v>
      </c>
      <c r="M48" s="681">
        <v>52638</v>
      </c>
      <c r="N48" s="681">
        <v>34144.76</v>
      </c>
      <c r="O48" s="681">
        <v>38500</v>
      </c>
      <c r="P48" s="681">
        <v>29479.360000000001</v>
      </c>
      <c r="Q48" s="681">
        <v>43529</v>
      </c>
      <c r="R48" s="681">
        <v>66171.64</v>
      </c>
      <c r="S48" s="681">
        <v>76182</v>
      </c>
      <c r="T48" s="681">
        <v>24078.06</v>
      </c>
      <c r="U48" s="681">
        <v>29751</v>
      </c>
      <c r="V48" s="681">
        <v>392874.75</v>
      </c>
      <c r="W48" s="681">
        <v>414670</v>
      </c>
      <c r="X48" s="681">
        <v>333896.84999999998</v>
      </c>
      <c r="Y48" s="681">
        <v>423658</v>
      </c>
      <c r="Z48" s="681">
        <v>55476.35</v>
      </c>
      <c r="AA48" s="681">
        <v>57146</v>
      </c>
      <c r="AB48" s="681">
        <v>52251.08</v>
      </c>
      <c r="AC48" s="681">
        <v>75067</v>
      </c>
      <c r="AD48" s="681">
        <v>118171.53</v>
      </c>
      <c r="AE48" s="681">
        <v>153542</v>
      </c>
      <c r="AF48" s="681">
        <v>243476.59</v>
      </c>
      <c r="AG48" s="681">
        <v>295722</v>
      </c>
      <c r="AH48" s="681">
        <v>101156</v>
      </c>
      <c r="AI48" s="681">
        <v>123524</v>
      </c>
      <c r="AJ48" s="681">
        <v>93817.54</v>
      </c>
      <c r="AK48" s="681">
        <v>99127</v>
      </c>
      <c r="AL48" s="681"/>
      <c r="AM48" s="681"/>
      <c r="AN48" s="681">
        <v>444024.54</v>
      </c>
      <c r="AO48" s="681">
        <v>441152</v>
      </c>
      <c r="AP48" s="681">
        <v>36910.28</v>
      </c>
      <c r="AQ48" s="681">
        <v>38265</v>
      </c>
      <c r="AR48" s="681">
        <v>50690.44</v>
      </c>
      <c r="AS48" s="681">
        <v>55820</v>
      </c>
      <c r="AT48" s="681">
        <v>157068.84</v>
      </c>
      <c r="AU48" s="687">
        <v>194439</v>
      </c>
      <c r="AV48" s="1018">
        <f t="shared" si="4"/>
        <v>2702398.77</v>
      </c>
      <c r="AW48" s="1019">
        <f t="shared" si="5"/>
        <v>3113840</v>
      </c>
      <c r="AX48" s="687">
        <v>14890777.5</v>
      </c>
      <c r="AY48" s="682">
        <v>15368569</v>
      </c>
      <c r="AZ48" s="682">
        <f t="shared" si="1"/>
        <v>17593176.27</v>
      </c>
      <c r="BA48" s="682">
        <f t="shared" si="1"/>
        <v>18482409</v>
      </c>
    </row>
    <row r="49" spans="1:53" ht="18" x14ac:dyDescent="0.35">
      <c r="A49" s="123" t="s">
        <v>360</v>
      </c>
      <c r="B49" s="123">
        <v>210041</v>
      </c>
      <c r="C49" s="818">
        <v>247442</v>
      </c>
      <c r="D49" s="819">
        <v>18987.59</v>
      </c>
      <c r="E49" s="821">
        <v>17257</v>
      </c>
      <c r="F49" s="821">
        <v>53525.33</v>
      </c>
      <c r="G49" s="821">
        <v>51530</v>
      </c>
      <c r="H49" s="821">
        <v>214696.82</v>
      </c>
      <c r="I49" s="821">
        <v>247894</v>
      </c>
      <c r="J49" s="821">
        <v>54529</v>
      </c>
      <c r="K49" s="821">
        <v>65691</v>
      </c>
      <c r="L49" s="821">
        <v>66749.53</v>
      </c>
      <c r="M49" s="821">
        <v>86664</v>
      </c>
      <c r="N49" s="821">
        <v>38958.089999999997</v>
      </c>
      <c r="O49" s="821">
        <v>43518</v>
      </c>
      <c r="P49" s="821">
        <v>38988.910000000003</v>
      </c>
      <c r="Q49" s="821">
        <v>53866</v>
      </c>
      <c r="R49" s="821">
        <v>95149.23</v>
      </c>
      <c r="S49" s="821">
        <v>102309</v>
      </c>
      <c r="T49" s="821">
        <v>35012.269999999997</v>
      </c>
      <c r="U49" s="821">
        <v>43455</v>
      </c>
      <c r="V49" s="821">
        <v>496430.7</v>
      </c>
      <c r="W49" s="821">
        <v>523326</v>
      </c>
      <c r="X49" s="821">
        <v>389731.03</v>
      </c>
      <c r="Y49" s="821">
        <v>490751</v>
      </c>
      <c r="Z49" s="821">
        <v>65101.23</v>
      </c>
      <c r="AA49" s="821">
        <v>74445</v>
      </c>
      <c r="AB49" s="821">
        <v>71899.350000000006</v>
      </c>
      <c r="AC49" s="821">
        <v>100664</v>
      </c>
      <c r="AD49" s="821">
        <v>166870.34</v>
      </c>
      <c r="AE49" s="821">
        <v>211487</v>
      </c>
      <c r="AF49" s="821">
        <v>301400.01</v>
      </c>
      <c r="AG49" s="821">
        <v>361891</v>
      </c>
      <c r="AH49" s="821">
        <v>127826</v>
      </c>
      <c r="AI49" s="821">
        <v>139856</v>
      </c>
      <c r="AJ49" s="821">
        <v>123229.03</v>
      </c>
      <c r="AK49" s="821">
        <v>119799</v>
      </c>
      <c r="AL49" s="821"/>
      <c r="AM49" s="821"/>
      <c r="AN49" s="821">
        <v>715076.39</v>
      </c>
      <c r="AO49" s="821">
        <v>761574</v>
      </c>
      <c r="AP49" s="821">
        <v>56511.27</v>
      </c>
      <c r="AQ49" s="821">
        <v>59993</v>
      </c>
      <c r="AR49" s="821">
        <v>69531.839999999997</v>
      </c>
      <c r="AS49" s="821">
        <v>70028</v>
      </c>
      <c r="AT49" s="821">
        <v>217516.44</v>
      </c>
      <c r="AU49" s="822">
        <v>234307</v>
      </c>
      <c r="AV49" s="1018">
        <f t="shared" si="4"/>
        <v>3627761.4</v>
      </c>
      <c r="AW49" s="1019">
        <f t="shared" si="5"/>
        <v>4107747</v>
      </c>
      <c r="AX49" s="687">
        <v>17920102.949999999</v>
      </c>
      <c r="AY49" s="820">
        <v>19111783</v>
      </c>
      <c r="AZ49" s="682">
        <f t="shared" si="1"/>
        <v>21547864.349999998</v>
      </c>
      <c r="BA49" s="682">
        <f t="shared" si="1"/>
        <v>23219530</v>
      </c>
    </row>
    <row r="50" spans="1:53" ht="16.5" x14ac:dyDescent="0.3">
      <c r="A50" s="96" t="s">
        <v>361</v>
      </c>
      <c r="B50" s="96">
        <v>164931</v>
      </c>
      <c r="C50" s="817">
        <v>188543</v>
      </c>
      <c r="D50" s="688">
        <v>15028.95</v>
      </c>
      <c r="E50" s="681">
        <v>10957</v>
      </c>
      <c r="F50" s="681">
        <v>47908.44</v>
      </c>
      <c r="G50" s="681">
        <v>37590</v>
      </c>
      <c r="H50" s="681">
        <v>161812.88</v>
      </c>
      <c r="I50" s="681">
        <v>267476</v>
      </c>
      <c r="J50" s="681">
        <v>45261</v>
      </c>
      <c r="K50" s="681">
        <v>35282</v>
      </c>
      <c r="L50" s="681">
        <v>75437.08</v>
      </c>
      <c r="M50" s="681">
        <v>64883</v>
      </c>
      <c r="N50" s="681">
        <v>14681.19</v>
      </c>
      <c r="O50" s="681">
        <v>16162</v>
      </c>
      <c r="P50" s="681">
        <v>27307.94</v>
      </c>
      <c r="Q50" s="681">
        <v>32055</v>
      </c>
      <c r="R50" s="681">
        <v>61534.57</v>
      </c>
      <c r="S50" s="681">
        <v>67941</v>
      </c>
      <c r="T50" s="681">
        <v>24491.15</v>
      </c>
      <c r="U50" s="681">
        <v>31940</v>
      </c>
      <c r="V50" s="681">
        <v>642318.27</v>
      </c>
      <c r="W50" s="681">
        <v>613755</v>
      </c>
      <c r="X50" s="681">
        <v>370736.2</v>
      </c>
      <c r="Y50" s="681">
        <v>522626</v>
      </c>
      <c r="Z50" s="681">
        <v>21706.55</v>
      </c>
      <c r="AA50" s="681">
        <v>31902</v>
      </c>
      <c r="AB50" s="681">
        <v>52502.32</v>
      </c>
      <c r="AC50" s="681">
        <v>76240</v>
      </c>
      <c r="AD50" s="681">
        <v>176038.47</v>
      </c>
      <c r="AE50" s="681">
        <v>210773</v>
      </c>
      <c r="AF50" s="681">
        <v>290877.12</v>
      </c>
      <c r="AG50" s="681">
        <v>368441</v>
      </c>
      <c r="AH50" s="681">
        <v>100575</v>
      </c>
      <c r="AI50" s="681">
        <v>138248</v>
      </c>
      <c r="AJ50" s="681">
        <v>88472.27</v>
      </c>
      <c r="AK50" s="681">
        <v>87689</v>
      </c>
      <c r="AL50" s="681"/>
      <c r="AM50" s="681"/>
      <c r="AN50" s="681">
        <v>380501.46</v>
      </c>
      <c r="AO50" s="681">
        <v>455855</v>
      </c>
      <c r="AP50" s="681">
        <v>26443.21</v>
      </c>
      <c r="AQ50" s="681">
        <v>41420</v>
      </c>
      <c r="AR50" s="681">
        <v>29984.85</v>
      </c>
      <c r="AS50" s="681">
        <v>24188</v>
      </c>
      <c r="AT50" s="681">
        <v>171757.85</v>
      </c>
      <c r="AU50" s="687">
        <v>281429</v>
      </c>
      <c r="AV50" s="1018">
        <f t="shared" si="4"/>
        <v>2990307.77</v>
      </c>
      <c r="AW50" s="1019">
        <f t="shared" si="5"/>
        <v>3605395</v>
      </c>
      <c r="AX50" s="687">
        <v>6791017.8499999996</v>
      </c>
      <c r="AY50" s="682">
        <v>5630154</v>
      </c>
      <c r="AZ50" s="682">
        <f t="shared" si="1"/>
        <v>9781325.6199999992</v>
      </c>
      <c r="BA50" s="682">
        <f t="shared" si="1"/>
        <v>9235549</v>
      </c>
    </row>
    <row r="51" spans="1:53" ht="16.5" x14ac:dyDescent="0.3">
      <c r="A51" s="96" t="s">
        <v>362</v>
      </c>
      <c r="B51" s="96">
        <v>11868</v>
      </c>
      <c r="C51" s="817">
        <v>13070</v>
      </c>
      <c r="D51" s="688">
        <v>189.76</v>
      </c>
      <c r="E51" s="681">
        <v>187</v>
      </c>
      <c r="F51" s="681">
        <v>1293.7</v>
      </c>
      <c r="G51" s="681">
        <v>777</v>
      </c>
      <c r="H51" s="681">
        <v>40731.410000000003</v>
      </c>
      <c r="I51" s="681">
        <v>21940</v>
      </c>
      <c r="J51" s="681">
        <v>5148</v>
      </c>
      <c r="K51" s="681">
        <v>7426</v>
      </c>
      <c r="L51" s="681">
        <v>1932.24</v>
      </c>
      <c r="M51" s="681">
        <v>1761</v>
      </c>
      <c r="N51" s="681">
        <v>20212.689999999999</v>
      </c>
      <c r="O51" s="681">
        <v>13763</v>
      </c>
      <c r="P51" s="681">
        <v>334.37</v>
      </c>
      <c r="Q51" s="681">
        <v>612</v>
      </c>
      <c r="R51" s="681">
        <v>4308.49</v>
      </c>
      <c r="S51" s="681">
        <v>2885</v>
      </c>
      <c r="T51" s="681">
        <v>1984.49</v>
      </c>
      <c r="U51" s="681">
        <v>745</v>
      </c>
      <c r="V51" s="681">
        <v>9272</v>
      </c>
      <c r="W51" s="681">
        <v>9116</v>
      </c>
      <c r="X51" s="681">
        <v>2322.83</v>
      </c>
      <c r="Y51" s="681">
        <v>2600</v>
      </c>
      <c r="Z51" s="681">
        <v>728.69</v>
      </c>
      <c r="AA51" s="681">
        <v>738</v>
      </c>
      <c r="AB51" s="681">
        <v>105.22</v>
      </c>
      <c r="AC51" s="681">
        <v>220</v>
      </c>
      <c r="AD51" s="681">
        <v>29187.1</v>
      </c>
      <c r="AE51" s="681">
        <v>39826</v>
      </c>
      <c r="AF51" s="681">
        <v>4258.8100000000004</v>
      </c>
      <c r="AG51" s="681">
        <v>3703</v>
      </c>
      <c r="AH51" s="681">
        <v>7673</v>
      </c>
      <c r="AI51" s="681">
        <v>9474</v>
      </c>
      <c r="AJ51" s="681">
        <v>6172.46</v>
      </c>
      <c r="AK51" s="681">
        <v>8213</v>
      </c>
      <c r="AL51" s="681"/>
      <c r="AM51" s="681"/>
      <c r="AN51" s="681">
        <v>43335.61</v>
      </c>
      <c r="AO51" s="681">
        <v>57124</v>
      </c>
      <c r="AP51" s="681">
        <v>5846.21</v>
      </c>
      <c r="AQ51" s="681">
        <v>2464</v>
      </c>
      <c r="AR51" s="681">
        <v>270</v>
      </c>
      <c r="AS51" s="681">
        <v>352</v>
      </c>
      <c r="AT51" s="681">
        <v>5565.82</v>
      </c>
      <c r="AU51" s="687">
        <v>7274</v>
      </c>
      <c r="AV51" s="1018">
        <f t="shared" si="4"/>
        <v>202740.9</v>
      </c>
      <c r="AW51" s="1019">
        <f t="shared" si="5"/>
        <v>204270</v>
      </c>
      <c r="AX51" s="687">
        <v>1494305.6</v>
      </c>
      <c r="AY51" s="682">
        <v>1494305</v>
      </c>
      <c r="AZ51" s="682">
        <f t="shared" si="1"/>
        <v>1697046.5</v>
      </c>
      <c r="BA51" s="682">
        <f t="shared" si="1"/>
        <v>1698575</v>
      </c>
    </row>
    <row r="52" spans="1:53" s="1279" customFormat="1" ht="18" x14ac:dyDescent="0.35">
      <c r="A52" s="695" t="s">
        <v>431</v>
      </c>
      <c r="B52" s="695">
        <v>176799</v>
      </c>
      <c r="C52" s="1112">
        <f>C50+C51</f>
        <v>201613</v>
      </c>
      <c r="D52" s="1113">
        <v>15218.71</v>
      </c>
      <c r="E52" s="1113">
        <f t="shared" ref="E52:AU52" si="6">E50+E51</f>
        <v>11144</v>
      </c>
      <c r="F52" s="1113">
        <v>49202.14</v>
      </c>
      <c r="G52" s="1113">
        <f t="shared" si="6"/>
        <v>38367</v>
      </c>
      <c r="H52" s="1113">
        <v>202544.29</v>
      </c>
      <c r="I52" s="1113">
        <f t="shared" si="6"/>
        <v>289416</v>
      </c>
      <c r="J52" s="1113">
        <v>51197.7</v>
      </c>
      <c r="K52" s="1113">
        <f t="shared" si="6"/>
        <v>42708</v>
      </c>
      <c r="L52" s="1113">
        <v>77369.320000000007</v>
      </c>
      <c r="M52" s="1113">
        <f t="shared" si="6"/>
        <v>66644</v>
      </c>
      <c r="N52" s="1113">
        <v>34893.879999999997</v>
      </c>
      <c r="O52" s="1113">
        <f t="shared" si="6"/>
        <v>29925</v>
      </c>
      <c r="P52" s="1113">
        <v>27642.31</v>
      </c>
      <c r="Q52" s="1113">
        <v>32667</v>
      </c>
      <c r="R52" s="1113">
        <v>65843.06</v>
      </c>
      <c r="S52" s="1113">
        <f t="shared" si="6"/>
        <v>70826</v>
      </c>
      <c r="T52" s="1113">
        <f t="shared" si="6"/>
        <v>26475.640000000003</v>
      </c>
      <c r="U52" s="1113">
        <f t="shared" si="6"/>
        <v>32685</v>
      </c>
      <c r="V52" s="1113">
        <f t="shared" si="6"/>
        <v>651590.27</v>
      </c>
      <c r="W52" s="1113">
        <f t="shared" si="6"/>
        <v>622871</v>
      </c>
      <c r="X52" s="1113">
        <v>373059.03</v>
      </c>
      <c r="Y52" s="1113">
        <f t="shared" si="6"/>
        <v>525226</v>
      </c>
      <c r="Z52" s="1113">
        <v>22435.24</v>
      </c>
      <c r="AA52" s="1113">
        <f t="shared" si="6"/>
        <v>32640</v>
      </c>
      <c r="AB52" s="1113">
        <v>52607.55</v>
      </c>
      <c r="AC52" s="1113">
        <f t="shared" si="6"/>
        <v>76460</v>
      </c>
      <c r="AD52" s="1113">
        <v>205225.57</v>
      </c>
      <c r="AE52" s="1113">
        <f t="shared" si="6"/>
        <v>250599</v>
      </c>
      <c r="AF52" s="1113">
        <v>295135.93</v>
      </c>
      <c r="AG52" s="1113">
        <f t="shared" si="6"/>
        <v>372144</v>
      </c>
      <c r="AH52" s="1113">
        <v>108248</v>
      </c>
      <c r="AI52" s="1113">
        <f t="shared" si="6"/>
        <v>147722</v>
      </c>
      <c r="AJ52" s="1113">
        <v>94644.73</v>
      </c>
      <c r="AK52" s="1113">
        <f t="shared" si="6"/>
        <v>95902</v>
      </c>
      <c r="AL52" s="1113"/>
      <c r="AM52" s="1113">
        <f t="shared" si="6"/>
        <v>0</v>
      </c>
      <c r="AN52" s="1113">
        <v>423837.07</v>
      </c>
      <c r="AO52" s="1113">
        <f t="shared" si="6"/>
        <v>512979</v>
      </c>
      <c r="AP52" s="1113">
        <v>32289.42</v>
      </c>
      <c r="AQ52" s="1113">
        <f t="shared" si="6"/>
        <v>43884</v>
      </c>
      <c r="AR52" s="1113">
        <v>30255.1</v>
      </c>
      <c r="AS52" s="1113">
        <f t="shared" si="6"/>
        <v>24540</v>
      </c>
      <c r="AT52" s="1113">
        <v>177323.67</v>
      </c>
      <c r="AU52" s="1274">
        <f t="shared" si="6"/>
        <v>288703</v>
      </c>
      <c r="AV52" s="1275">
        <f t="shared" si="4"/>
        <v>3193837.6300000004</v>
      </c>
      <c r="AW52" s="1276">
        <f t="shared" si="5"/>
        <v>3809665</v>
      </c>
      <c r="AX52" s="1277">
        <v>8285323.4500000002</v>
      </c>
      <c r="AY52" s="1116">
        <v>7124459</v>
      </c>
      <c r="AZ52" s="1278">
        <f t="shared" si="1"/>
        <v>11479161.08</v>
      </c>
      <c r="BA52" s="1278">
        <f t="shared" si="1"/>
        <v>10934124</v>
      </c>
    </row>
    <row r="53" spans="1:53" s="1279" customFormat="1" ht="18" x14ac:dyDescent="0.35">
      <c r="A53" s="695" t="s">
        <v>363</v>
      </c>
      <c r="B53" s="695">
        <v>33242</v>
      </c>
      <c r="C53" s="1112">
        <f>C49-C52</f>
        <v>45829</v>
      </c>
      <c r="D53" s="1113">
        <v>3768.88</v>
      </c>
      <c r="E53" s="1113">
        <f t="shared" ref="E53:AU53" si="7">E49-E52</f>
        <v>6113</v>
      </c>
      <c r="F53" s="1113">
        <v>4323.1899999999996</v>
      </c>
      <c r="G53" s="1113">
        <f t="shared" si="7"/>
        <v>13163</v>
      </c>
      <c r="H53" s="1113">
        <v>12152.53</v>
      </c>
      <c r="I53" s="1113">
        <f t="shared" si="7"/>
        <v>-41522</v>
      </c>
      <c r="J53" s="1113">
        <v>4021.32</v>
      </c>
      <c r="K53" s="1113">
        <f t="shared" si="7"/>
        <v>22983</v>
      </c>
      <c r="L53" s="1113">
        <v>-10619.79</v>
      </c>
      <c r="M53" s="1113">
        <f t="shared" si="7"/>
        <v>20020</v>
      </c>
      <c r="N53" s="1113">
        <v>4064.21</v>
      </c>
      <c r="O53" s="1113">
        <f t="shared" si="7"/>
        <v>13593</v>
      </c>
      <c r="P53" s="1113">
        <v>11346.59</v>
      </c>
      <c r="Q53" s="1113">
        <f t="shared" si="7"/>
        <v>21199</v>
      </c>
      <c r="R53" s="1113">
        <v>29306.17</v>
      </c>
      <c r="S53" s="1113">
        <f t="shared" si="7"/>
        <v>31483</v>
      </c>
      <c r="T53" s="1113">
        <f t="shared" si="7"/>
        <v>8536.6299999999937</v>
      </c>
      <c r="U53" s="1113">
        <f t="shared" si="7"/>
        <v>10770</v>
      </c>
      <c r="V53" s="1113">
        <v>-153781.32</v>
      </c>
      <c r="W53" s="1113">
        <f t="shared" si="7"/>
        <v>-99545</v>
      </c>
      <c r="X53" s="1113">
        <v>16672</v>
      </c>
      <c r="Y53" s="1113">
        <f t="shared" si="7"/>
        <v>-34475</v>
      </c>
      <c r="Z53" s="1113">
        <v>42665.99</v>
      </c>
      <c r="AA53" s="1113">
        <f t="shared" si="7"/>
        <v>41805</v>
      </c>
      <c r="AB53" s="1113">
        <v>19291.8</v>
      </c>
      <c r="AC53" s="1113">
        <f t="shared" si="7"/>
        <v>24204</v>
      </c>
      <c r="AD53" s="1113">
        <v>-38355.230000000003</v>
      </c>
      <c r="AE53" s="1113">
        <f t="shared" si="7"/>
        <v>-39112</v>
      </c>
      <c r="AF53" s="1113">
        <v>6264.08</v>
      </c>
      <c r="AG53" s="1113">
        <f t="shared" si="7"/>
        <v>-10253</v>
      </c>
      <c r="AH53" s="1113">
        <v>19578</v>
      </c>
      <c r="AI53" s="1113">
        <f t="shared" si="7"/>
        <v>-7866</v>
      </c>
      <c r="AJ53" s="1113">
        <v>28584.3</v>
      </c>
      <c r="AK53" s="1113">
        <f t="shared" si="7"/>
        <v>23897</v>
      </c>
      <c r="AL53" s="1113"/>
      <c r="AM53" s="1113">
        <f t="shared" si="7"/>
        <v>0</v>
      </c>
      <c r="AN53" s="1113">
        <v>291239.32</v>
      </c>
      <c r="AO53" s="1113">
        <f t="shared" si="7"/>
        <v>248595</v>
      </c>
      <c r="AP53" s="1113">
        <v>24221.84</v>
      </c>
      <c r="AQ53" s="1113">
        <v>16109</v>
      </c>
      <c r="AR53" s="1113">
        <v>39276.74</v>
      </c>
      <c r="AS53" s="1113">
        <f t="shared" si="7"/>
        <v>45488</v>
      </c>
      <c r="AT53" s="1113">
        <v>40192.769999999997</v>
      </c>
      <c r="AU53" s="1274">
        <f t="shared" si="7"/>
        <v>-54396</v>
      </c>
      <c r="AV53" s="1275">
        <f t="shared" si="4"/>
        <v>435992.02</v>
      </c>
      <c r="AW53" s="1276">
        <f t="shared" si="5"/>
        <v>298082</v>
      </c>
      <c r="AX53" s="1277">
        <v>9634779.5</v>
      </c>
      <c r="AY53" s="1116">
        <v>11987323</v>
      </c>
      <c r="AZ53" s="1278">
        <f t="shared" si="1"/>
        <v>10070771.52</v>
      </c>
      <c r="BA53" s="1278">
        <f t="shared" si="1"/>
        <v>12285405</v>
      </c>
    </row>
    <row r="54" spans="1:53" ht="16.5" x14ac:dyDescent="0.3">
      <c r="A54" s="96" t="s">
        <v>364</v>
      </c>
      <c r="B54" s="96"/>
      <c r="C54" s="817"/>
      <c r="D54" s="688"/>
      <c r="E54" s="681"/>
      <c r="F54" s="681"/>
      <c r="G54" s="681"/>
      <c r="H54" s="681"/>
      <c r="I54" s="681"/>
      <c r="J54" s="681"/>
      <c r="K54" s="681"/>
      <c r="L54" s="681"/>
      <c r="M54" s="681"/>
      <c r="N54" s="681"/>
      <c r="O54" s="681"/>
      <c r="P54" s="681"/>
      <c r="Q54" s="681"/>
      <c r="R54" s="681"/>
      <c r="S54" s="681"/>
      <c r="T54" s="681"/>
      <c r="U54" s="681"/>
      <c r="V54" s="681"/>
      <c r="W54" s="681"/>
      <c r="X54" s="681"/>
      <c r="Y54" s="681"/>
      <c r="Z54" s="681"/>
      <c r="AA54" s="681"/>
      <c r="AB54" s="681"/>
      <c r="AC54" s="681"/>
      <c r="AD54" s="681"/>
      <c r="AE54" s="681"/>
      <c r="AF54" s="681"/>
      <c r="AG54" s="681"/>
      <c r="AH54" s="681"/>
      <c r="AI54" s="681"/>
      <c r="AJ54" s="681"/>
      <c r="AK54" s="681"/>
      <c r="AL54" s="681"/>
      <c r="AM54" s="681"/>
      <c r="AN54" s="681"/>
      <c r="AO54" s="681"/>
      <c r="AP54" s="681"/>
      <c r="AQ54" s="681"/>
      <c r="AR54" s="681"/>
      <c r="AS54" s="681"/>
      <c r="AT54" s="681"/>
      <c r="AU54" s="687"/>
      <c r="AV54" s="1018">
        <f t="shared" si="4"/>
        <v>0</v>
      </c>
      <c r="AW54" s="1019">
        <f t="shared" si="5"/>
        <v>0</v>
      </c>
      <c r="AX54" s="687"/>
      <c r="AY54" s="682"/>
      <c r="AZ54" s="682">
        <f t="shared" si="1"/>
        <v>0</v>
      </c>
      <c r="BA54" s="682">
        <f t="shared" si="1"/>
        <v>0</v>
      </c>
    </row>
    <row r="55" spans="1:53" ht="16.5" x14ac:dyDescent="0.3">
      <c r="A55" s="96" t="s">
        <v>365</v>
      </c>
      <c r="B55" s="96"/>
      <c r="C55" s="817"/>
      <c r="D55" s="688"/>
      <c r="E55" s="681"/>
      <c r="F55" s="681"/>
      <c r="G55" s="681"/>
      <c r="H55" s="681"/>
      <c r="I55" s="681"/>
      <c r="J55" s="681"/>
      <c r="K55" s="681"/>
      <c r="L55" s="681"/>
      <c r="M55" s="681"/>
      <c r="N55" s="681"/>
      <c r="O55" s="681"/>
      <c r="P55" s="681"/>
      <c r="Q55" s="681"/>
      <c r="R55" s="681"/>
      <c r="S55" s="681"/>
      <c r="T55" s="681"/>
      <c r="U55" s="681"/>
      <c r="V55" s="681"/>
      <c r="W55" s="681"/>
      <c r="X55" s="681"/>
      <c r="Y55" s="681"/>
      <c r="Z55" s="681"/>
      <c r="AA55" s="681"/>
      <c r="AB55" s="681"/>
      <c r="AC55" s="681"/>
      <c r="AD55" s="681"/>
      <c r="AE55" s="681"/>
      <c r="AF55" s="681"/>
      <c r="AG55" s="681"/>
      <c r="AH55" s="681"/>
      <c r="AI55" s="681"/>
      <c r="AJ55" s="681"/>
      <c r="AK55" s="681"/>
      <c r="AL55" s="681"/>
      <c r="AM55" s="681"/>
      <c r="AN55" s="681"/>
      <c r="AO55" s="681"/>
      <c r="AP55" s="681"/>
      <c r="AQ55" s="681"/>
      <c r="AR55" s="681"/>
      <c r="AS55" s="681"/>
      <c r="AT55" s="681"/>
      <c r="AU55" s="687"/>
      <c r="AV55" s="1018">
        <f t="shared" si="4"/>
        <v>0</v>
      </c>
      <c r="AW55" s="1019">
        <f t="shared" si="5"/>
        <v>0</v>
      </c>
      <c r="AX55" s="687"/>
      <c r="AY55" s="682"/>
      <c r="AZ55" s="682">
        <f t="shared" si="1"/>
        <v>0</v>
      </c>
      <c r="BA55" s="682">
        <f t="shared" si="1"/>
        <v>0</v>
      </c>
    </row>
    <row r="56" spans="1:53" ht="16.5" x14ac:dyDescent="0.3">
      <c r="A56" s="96" t="s">
        <v>366</v>
      </c>
      <c r="B56" s="96"/>
      <c r="C56" s="817"/>
      <c r="D56" s="688">
        <v>70411.199999999997</v>
      </c>
      <c r="E56" s="681">
        <v>79251</v>
      </c>
      <c r="F56" s="681">
        <v>138940.97</v>
      </c>
      <c r="G56" s="681">
        <v>147533</v>
      </c>
      <c r="H56" s="681"/>
      <c r="I56" s="681"/>
      <c r="J56" s="681">
        <v>286149.98</v>
      </c>
      <c r="K56" s="681">
        <v>320383</v>
      </c>
      <c r="L56" s="681"/>
      <c r="M56" s="681"/>
      <c r="N56" s="681">
        <v>20450.8</v>
      </c>
      <c r="O56" s="681">
        <v>20950</v>
      </c>
      <c r="P56" s="681">
        <v>162898.96</v>
      </c>
      <c r="Q56" s="681">
        <v>185192</v>
      </c>
      <c r="R56" s="681">
        <v>64297.18</v>
      </c>
      <c r="S56" s="681">
        <v>63136</v>
      </c>
      <c r="T56" s="681">
        <v>197717.45</v>
      </c>
      <c r="U56" s="681">
        <v>216111</v>
      </c>
      <c r="V56" s="681"/>
      <c r="W56" s="681"/>
      <c r="X56" s="681"/>
      <c r="Y56" s="681"/>
      <c r="Z56" s="681"/>
      <c r="AA56" s="681"/>
      <c r="AB56" s="681">
        <v>16909.39</v>
      </c>
      <c r="AC56" s="681">
        <v>45071</v>
      </c>
      <c r="AD56" s="681"/>
      <c r="AE56" s="681"/>
      <c r="AF56" s="681"/>
      <c r="AG56" s="681"/>
      <c r="AH56" s="681">
        <v>60067</v>
      </c>
      <c r="AI56" s="681">
        <v>67171</v>
      </c>
      <c r="AJ56" s="681">
        <v>14706.73</v>
      </c>
      <c r="AK56" s="681">
        <v>8185</v>
      </c>
      <c r="AL56" s="681"/>
      <c r="AM56" s="681"/>
      <c r="AN56" s="681"/>
      <c r="AO56" s="681"/>
      <c r="AP56" s="681"/>
      <c r="AQ56" s="681"/>
      <c r="AR56" s="681"/>
      <c r="AS56" s="681"/>
      <c r="AT56" s="681"/>
      <c r="AU56" s="687"/>
      <c r="AV56" s="1018">
        <f t="shared" si="4"/>
        <v>1032549.66</v>
      </c>
      <c r="AW56" s="1019">
        <f t="shared" si="5"/>
        <v>1152983</v>
      </c>
      <c r="AX56" s="687"/>
      <c r="AY56" s="682"/>
      <c r="AZ56" s="682">
        <f t="shared" si="1"/>
        <v>1032549.66</v>
      </c>
      <c r="BA56" s="682">
        <f t="shared" si="1"/>
        <v>1152983</v>
      </c>
    </row>
    <row r="57" spans="1:53" ht="16.5" x14ac:dyDescent="0.3">
      <c r="A57" s="96" t="s">
        <v>367</v>
      </c>
      <c r="B57" s="96"/>
      <c r="C57" s="817"/>
      <c r="D57" s="688">
        <v>145027.39000000001</v>
      </c>
      <c r="E57" s="681">
        <v>172618</v>
      </c>
      <c r="F57" s="681"/>
      <c r="G57" s="681"/>
      <c r="H57" s="681"/>
      <c r="I57" s="681"/>
      <c r="J57" s="681"/>
      <c r="K57" s="681"/>
      <c r="L57" s="681"/>
      <c r="M57" s="681"/>
      <c r="N57" s="681"/>
      <c r="O57" s="681"/>
      <c r="P57" s="681"/>
      <c r="Q57" s="681"/>
      <c r="R57" s="681"/>
      <c r="S57" s="681"/>
      <c r="T57" s="681"/>
      <c r="U57" s="681"/>
      <c r="V57" s="681"/>
      <c r="W57" s="681"/>
      <c r="X57" s="681"/>
      <c r="Y57" s="681"/>
      <c r="Z57" s="681"/>
      <c r="AA57" s="681"/>
      <c r="AB57" s="681"/>
      <c r="AC57" s="681"/>
      <c r="AD57" s="681"/>
      <c r="AE57" s="681"/>
      <c r="AF57" s="681"/>
      <c r="AG57" s="681"/>
      <c r="AH57" s="681"/>
      <c r="AI57" s="681"/>
      <c r="AJ57" s="681"/>
      <c r="AK57" s="681"/>
      <c r="AL57" s="681"/>
      <c r="AM57" s="681"/>
      <c r="AN57" s="681"/>
      <c r="AO57" s="681"/>
      <c r="AP57" s="681"/>
      <c r="AQ57" s="681"/>
      <c r="AR57" s="681"/>
      <c r="AS57" s="681"/>
      <c r="AT57" s="681"/>
      <c r="AU57" s="687"/>
      <c r="AV57" s="1018">
        <f t="shared" si="4"/>
        <v>145027.39000000001</v>
      </c>
      <c r="AW57" s="1019">
        <f t="shared" si="5"/>
        <v>172618</v>
      </c>
      <c r="AX57" s="687"/>
      <c r="AY57" s="682"/>
      <c r="AZ57" s="682">
        <f t="shared" si="1"/>
        <v>145027.39000000001</v>
      </c>
      <c r="BA57" s="682">
        <f t="shared" si="1"/>
        <v>172618</v>
      </c>
    </row>
    <row r="58" spans="1:53" s="1119" customFormat="1" ht="18" x14ac:dyDescent="0.35">
      <c r="A58" s="695" t="s">
        <v>347</v>
      </c>
      <c r="B58" s="695">
        <v>5325950.53</v>
      </c>
      <c r="C58" s="1112">
        <v>6166730</v>
      </c>
      <c r="D58" s="1113">
        <v>546313.57999999996</v>
      </c>
      <c r="E58" s="1114">
        <v>640099</v>
      </c>
      <c r="F58" s="1114">
        <v>1220954.56</v>
      </c>
      <c r="G58" s="1114">
        <v>1316436</v>
      </c>
      <c r="H58" s="1114">
        <v>7443048.6900000004</v>
      </c>
      <c r="I58" s="1114">
        <v>8591306</v>
      </c>
      <c r="J58" s="1114">
        <v>1232230.55</v>
      </c>
      <c r="K58" s="1114">
        <v>1457502</v>
      </c>
      <c r="L58" s="1114">
        <v>2181249.5699999998</v>
      </c>
      <c r="M58" s="1114">
        <v>2654851</v>
      </c>
      <c r="N58" s="1114">
        <v>595510.77</v>
      </c>
      <c r="O58" s="1114">
        <v>663481</v>
      </c>
      <c r="P58" s="1114">
        <v>606827.94999999995</v>
      </c>
      <c r="Q58" s="1114">
        <v>764997</v>
      </c>
      <c r="R58" s="1114">
        <v>1912395.07</v>
      </c>
      <c r="S58" s="1114">
        <v>2128308</v>
      </c>
      <c r="T58" s="1114">
        <v>731061.88</v>
      </c>
      <c r="U58" s="1114">
        <v>836046</v>
      </c>
      <c r="V58" s="1114">
        <v>17306582.75</v>
      </c>
      <c r="W58" s="1114">
        <v>20416053</v>
      </c>
      <c r="X58" s="1114">
        <v>21348930.440000001</v>
      </c>
      <c r="Y58" s="1114">
        <v>23918518</v>
      </c>
      <c r="Z58" s="1114">
        <v>1227645.04</v>
      </c>
      <c r="AA58" s="1114">
        <v>1408806</v>
      </c>
      <c r="AB58" s="1114">
        <v>1729563</v>
      </c>
      <c r="AC58" s="1114">
        <v>1945149</v>
      </c>
      <c r="AD58" s="1114">
        <v>4621896.53</v>
      </c>
      <c r="AE58" s="1114">
        <v>5525503</v>
      </c>
      <c r="AF58" s="1114">
        <v>9122283.1899999995</v>
      </c>
      <c r="AG58" s="1114">
        <v>10833352</v>
      </c>
      <c r="AH58" s="1114">
        <v>2926099</v>
      </c>
      <c r="AI58" s="1114">
        <v>3525335</v>
      </c>
      <c r="AJ58" s="1114">
        <v>2493914.2599999998</v>
      </c>
      <c r="AK58" s="1114">
        <v>2811431</v>
      </c>
      <c r="AL58" s="1114"/>
      <c r="AM58" s="1114"/>
      <c r="AN58" s="1114">
        <v>22259206.780000001</v>
      </c>
      <c r="AO58" s="1114">
        <v>26820720</v>
      </c>
      <c r="AP58" s="1114">
        <v>663173.81000000006</v>
      </c>
      <c r="AQ58" s="1114">
        <v>798540</v>
      </c>
      <c r="AR58" s="1114">
        <v>1212499.95</v>
      </c>
      <c r="AS58" s="1114">
        <v>1503212</v>
      </c>
      <c r="AT58" s="1114">
        <v>4734353.8600000003</v>
      </c>
      <c r="AU58" s="1115">
        <v>5879311</v>
      </c>
      <c r="AV58" s="1117">
        <f t="shared" si="4"/>
        <v>111441691.76000001</v>
      </c>
      <c r="AW58" s="1118">
        <f t="shared" si="5"/>
        <v>130605686</v>
      </c>
      <c r="AX58" s="1115">
        <v>372890244.39999998</v>
      </c>
      <c r="AY58" s="1116">
        <v>415934516</v>
      </c>
      <c r="AZ58" s="1116">
        <f t="shared" si="1"/>
        <v>484331936.15999997</v>
      </c>
      <c r="BA58" s="1116">
        <f t="shared" si="1"/>
        <v>546540202</v>
      </c>
    </row>
    <row r="59" spans="1:53" ht="16.5" x14ac:dyDescent="0.3">
      <c r="A59" s="123" t="s">
        <v>368</v>
      </c>
      <c r="B59" s="123"/>
      <c r="C59" s="682"/>
      <c r="D59" s="681"/>
      <c r="E59" s="681"/>
      <c r="F59" s="681"/>
      <c r="G59" s="681"/>
      <c r="H59" s="681"/>
      <c r="I59" s="681"/>
      <c r="J59" s="681"/>
      <c r="K59" s="681"/>
      <c r="L59" s="681"/>
      <c r="M59" s="681"/>
      <c r="N59" s="681"/>
      <c r="O59" s="681"/>
      <c r="P59" s="681"/>
      <c r="Q59" s="681"/>
      <c r="R59" s="681"/>
      <c r="S59" s="681"/>
      <c r="T59" s="681"/>
      <c r="U59" s="681"/>
      <c r="V59" s="681"/>
      <c r="W59" s="681"/>
      <c r="X59" s="681"/>
      <c r="Y59" s="681"/>
      <c r="Z59" s="681"/>
      <c r="AA59" s="681"/>
      <c r="AB59" s="681"/>
      <c r="AC59" s="681"/>
      <c r="AD59" s="681"/>
      <c r="AE59" s="681"/>
      <c r="AF59" s="681"/>
      <c r="AG59" s="681"/>
      <c r="AH59" s="681"/>
      <c r="AI59" s="681"/>
      <c r="AJ59" s="681"/>
      <c r="AK59" s="681"/>
      <c r="AL59" s="681"/>
      <c r="AM59" s="681"/>
      <c r="AN59" s="681"/>
      <c r="AO59" s="681"/>
      <c r="AP59" s="681"/>
      <c r="AQ59" s="681"/>
      <c r="AR59" s="681"/>
      <c r="AS59" s="681"/>
      <c r="AT59" s="681"/>
      <c r="AU59" s="687"/>
      <c r="AV59" s="1018">
        <f t="shared" si="4"/>
        <v>0</v>
      </c>
      <c r="AW59" s="1019">
        <f t="shared" si="5"/>
        <v>0</v>
      </c>
      <c r="AX59" s="687"/>
      <c r="AY59" s="682"/>
      <c r="AZ59" s="682">
        <f t="shared" si="1"/>
        <v>0</v>
      </c>
      <c r="BA59" s="682">
        <f t="shared" si="1"/>
        <v>0</v>
      </c>
    </row>
    <row r="60" spans="1:53" ht="16.5" x14ac:dyDescent="0.3">
      <c r="A60" s="123" t="s">
        <v>0</v>
      </c>
      <c r="B60" s="123"/>
      <c r="C60" s="682"/>
      <c r="D60" s="681"/>
      <c r="E60" s="681"/>
      <c r="F60" s="681"/>
      <c r="G60" s="681"/>
      <c r="H60" s="681"/>
      <c r="I60" s="681"/>
      <c r="J60" s="681"/>
      <c r="K60" s="681"/>
      <c r="L60" s="681"/>
      <c r="M60" s="681"/>
      <c r="N60" s="681"/>
      <c r="O60" s="681"/>
      <c r="P60" s="681"/>
      <c r="Q60" s="681"/>
      <c r="R60" s="681"/>
      <c r="S60" s="681"/>
      <c r="T60" s="681"/>
      <c r="U60" s="681"/>
      <c r="V60" s="681"/>
      <c r="W60" s="681"/>
      <c r="X60" s="681"/>
      <c r="Y60" s="681"/>
      <c r="Z60" s="681"/>
      <c r="AA60" s="681"/>
      <c r="AB60" s="681"/>
      <c r="AC60" s="681"/>
      <c r="AD60" s="681"/>
      <c r="AE60" s="681"/>
      <c r="AF60" s="681"/>
      <c r="AG60" s="681"/>
      <c r="AH60" s="681"/>
      <c r="AI60" s="681"/>
      <c r="AJ60" s="681"/>
      <c r="AK60" s="681"/>
      <c r="AL60" s="681"/>
      <c r="AM60" s="681"/>
      <c r="AN60" s="681"/>
      <c r="AO60" s="681"/>
      <c r="AP60" s="681"/>
      <c r="AQ60" s="681"/>
      <c r="AR60" s="681"/>
      <c r="AS60" s="681"/>
      <c r="AT60" s="681"/>
      <c r="AU60" s="687"/>
      <c r="AV60" s="1018">
        <f t="shared" si="4"/>
        <v>0</v>
      </c>
      <c r="AW60" s="1019">
        <f t="shared" si="5"/>
        <v>0</v>
      </c>
      <c r="AX60" s="687"/>
      <c r="AY60" s="682"/>
      <c r="AZ60" s="682">
        <f t="shared" si="1"/>
        <v>0</v>
      </c>
      <c r="BA60" s="682">
        <f t="shared" si="1"/>
        <v>0</v>
      </c>
    </row>
    <row r="61" spans="1:53" ht="16.5" x14ac:dyDescent="0.3">
      <c r="A61" s="96" t="s">
        <v>369</v>
      </c>
      <c r="B61" s="96">
        <v>44761.07</v>
      </c>
      <c r="C61" s="682">
        <v>23339</v>
      </c>
      <c r="D61" s="681"/>
      <c r="E61" s="681"/>
      <c r="F61" s="681">
        <v>3171.71</v>
      </c>
      <c r="G61" s="681">
        <v>735</v>
      </c>
      <c r="H61" s="681">
        <v>237274</v>
      </c>
      <c r="I61" s="681">
        <v>156530</v>
      </c>
      <c r="J61" s="681">
        <v>66432</v>
      </c>
      <c r="K61" s="681">
        <v>44000</v>
      </c>
      <c r="L61" s="681"/>
      <c r="M61" s="681"/>
      <c r="N61" s="681">
        <v>154</v>
      </c>
      <c r="O61" s="681">
        <v>31</v>
      </c>
      <c r="P61" s="681"/>
      <c r="Q61" s="681"/>
      <c r="R61" s="681">
        <v>3024.64</v>
      </c>
      <c r="S61" s="681">
        <v>2494</v>
      </c>
      <c r="T61" s="681">
        <v>9750</v>
      </c>
      <c r="U61" s="681">
        <v>6368</v>
      </c>
      <c r="V61" s="681">
        <v>174682.92</v>
      </c>
      <c r="W61" s="681">
        <v>94006</v>
      </c>
      <c r="X61" s="681">
        <v>106129.33</v>
      </c>
      <c r="Y61" s="681">
        <v>69967</v>
      </c>
      <c r="Z61" s="681"/>
      <c r="AA61" s="681"/>
      <c r="AB61" s="681">
        <v>1188.5999999999999</v>
      </c>
      <c r="AC61" s="681">
        <v>630</v>
      </c>
      <c r="AD61" s="681">
        <v>22771.18</v>
      </c>
      <c r="AE61" s="681">
        <v>16656</v>
      </c>
      <c r="AF61" s="681">
        <v>17195</v>
      </c>
      <c r="AG61" s="681">
        <v>10000</v>
      </c>
      <c r="AH61" s="681">
        <v>32500</v>
      </c>
      <c r="AI61" s="681">
        <v>19500</v>
      </c>
      <c r="AJ61" s="681">
        <v>6197.28</v>
      </c>
      <c r="AK61" s="681">
        <v>3148</v>
      </c>
      <c r="AL61" s="681"/>
      <c r="AM61" s="681"/>
      <c r="AN61" s="681">
        <v>109000</v>
      </c>
      <c r="AO61" s="681">
        <v>62000</v>
      </c>
      <c r="AP61" s="681"/>
      <c r="AQ61" s="681"/>
      <c r="AR61" s="681"/>
      <c r="AS61" s="681">
        <v>604</v>
      </c>
      <c r="AT61" s="681"/>
      <c r="AU61" s="687"/>
      <c r="AV61" s="1018">
        <f t="shared" si="4"/>
        <v>834231.7300000001</v>
      </c>
      <c r="AW61" s="1019">
        <f t="shared" si="5"/>
        <v>510008</v>
      </c>
      <c r="AX61" s="687">
        <v>233695</v>
      </c>
      <c r="AY61" s="682">
        <v>60496</v>
      </c>
      <c r="AZ61" s="682">
        <f t="shared" si="1"/>
        <v>1067926.73</v>
      </c>
      <c r="BA61" s="682">
        <f t="shared" si="1"/>
        <v>570504</v>
      </c>
    </row>
    <row r="62" spans="1:53" ht="16.5" x14ac:dyDescent="0.3">
      <c r="A62" s="96" t="s">
        <v>370</v>
      </c>
      <c r="B62" s="96">
        <v>221.67</v>
      </c>
      <c r="C62" s="682">
        <v>234</v>
      </c>
      <c r="D62" s="681"/>
      <c r="E62" s="681"/>
      <c r="F62" s="681">
        <v>108.97</v>
      </c>
      <c r="G62" s="681">
        <v>174</v>
      </c>
      <c r="H62" s="681"/>
      <c r="I62" s="681"/>
      <c r="J62" s="681">
        <v>34</v>
      </c>
      <c r="K62" s="681">
        <v>6</v>
      </c>
      <c r="L62" s="681">
        <v>2.27</v>
      </c>
      <c r="M62" s="681">
        <v>2</v>
      </c>
      <c r="N62" s="681">
        <v>25</v>
      </c>
      <c r="O62" s="681">
        <v>25</v>
      </c>
      <c r="P62" s="681"/>
      <c r="Q62" s="681"/>
      <c r="R62" s="681"/>
      <c r="S62" s="681"/>
      <c r="T62" s="681"/>
      <c r="U62" s="681"/>
      <c r="V62" s="681">
        <v>0.53</v>
      </c>
      <c r="W62" s="681">
        <v>1</v>
      </c>
      <c r="X62" s="681">
        <f>11.76+413.54+85.23</f>
        <v>510.53000000000003</v>
      </c>
      <c r="Y62" s="681">
        <f>5+75+93</f>
        <v>173</v>
      </c>
      <c r="Z62" s="681"/>
      <c r="AA62" s="681"/>
      <c r="AB62" s="681"/>
      <c r="AC62" s="681"/>
      <c r="AD62" s="681">
        <v>41.13</v>
      </c>
      <c r="AE62" s="681">
        <v>41</v>
      </c>
      <c r="AF62" s="681">
        <v>2642</v>
      </c>
      <c r="AG62" s="681">
        <v>2817</v>
      </c>
      <c r="AH62" s="681">
        <v>76</v>
      </c>
      <c r="AI62" s="681">
        <v>185</v>
      </c>
      <c r="AJ62" s="681">
        <v>103.97</v>
      </c>
      <c r="AK62" s="681">
        <v>161</v>
      </c>
      <c r="AL62" s="681"/>
      <c r="AM62" s="681"/>
      <c r="AN62" s="681">
        <v>99.56</v>
      </c>
      <c r="AO62" s="681">
        <v>100</v>
      </c>
      <c r="AP62" s="681"/>
      <c r="AQ62" s="681"/>
      <c r="AR62" s="681">
        <v>74.75</v>
      </c>
      <c r="AS62" s="681">
        <v>70</v>
      </c>
      <c r="AT62" s="681">
        <v>137.81</v>
      </c>
      <c r="AU62" s="687">
        <v>972</v>
      </c>
      <c r="AV62" s="1018">
        <f t="shared" si="4"/>
        <v>4078.1899999999996</v>
      </c>
      <c r="AW62" s="1019">
        <f t="shared" si="5"/>
        <v>4961</v>
      </c>
      <c r="AX62" s="687">
        <v>1389</v>
      </c>
      <c r="AY62" s="682">
        <v>952</v>
      </c>
      <c r="AZ62" s="682">
        <f t="shared" si="1"/>
        <v>5467.19</v>
      </c>
      <c r="BA62" s="682">
        <f t="shared" si="1"/>
        <v>5913</v>
      </c>
    </row>
    <row r="63" spans="1:53" ht="16.5" x14ac:dyDescent="0.3">
      <c r="A63" s="96" t="s">
        <v>371</v>
      </c>
      <c r="B63" s="96"/>
      <c r="C63" s="682"/>
      <c r="D63" s="681"/>
      <c r="E63" s="681"/>
      <c r="F63" s="681"/>
      <c r="G63" s="681"/>
      <c r="H63" s="681"/>
      <c r="I63" s="681"/>
      <c r="J63" s="681"/>
      <c r="K63" s="681"/>
      <c r="L63" s="681"/>
      <c r="M63" s="681"/>
      <c r="N63" s="681"/>
      <c r="O63" s="681"/>
      <c r="P63" s="681"/>
      <c r="Q63" s="681"/>
      <c r="R63" s="681"/>
      <c r="S63" s="681"/>
      <c r="T63" s="681">
        <v>124.93</v>
      </c>
      <c r="U63" s="681">
        <v>638</v>
      </c>
      <c r="V63" s="681"/>
      <c r="W63" s="681"/>
      <c r="X63" s="681"/>
      <c r="Y63" s="681"/>
      <c r="Z63" s="681"/>
      <c r="AA63" s="681"/>
      <c r="AB63" s="681"/>
      <c r="AC63" s="681"/>
      <c r="AD63" s="681"/>
      <c r="AE63" s="681"/>
      <c r="AF63" s="681"/>
      <c r="AG63" s="681"/>
      <c r="AH63" s="681"/>
      <c r="AI63" s="681"/>
      <c r="AJ63" s="681"/>
      <c r="AK63" s="681"/>
      <c r="AL63" s="681"/>
      <c r="AM63" s="681"/>
      <c r="AN63" s="681"/>
      <c r="AO63" s="681"/>
      <c r="AP63" s="681"/>
      <c r="AQ63" s="681"/>
      <c r="AR63" s="681"/>
      <c r="AS63" s="681"/>
      <c r="AT63" s="681"/>
      <c r="AU63" s="687"/>
      <c r="AV63" s="1018">
        <f t="shared" si="4"/>
        <v>124.93</v>
      </c>
      <c r="AW63" s="1019">
        <f t="shared" si="5"/>
        <v>638</v>
      </c>
      <c r="AX63" s="687"/>
      <c r="AY63" s="682"/>
      <c r="AZ63" s="682">
        <f t="shared" si="1"/>
        <v>124.93</v>
      </c>
      <c r="BA63" s="682">
        <f t="shared" si="1"/>
        <v>638</v>
      </c>
    </row>
    <row r="64" spans="1:53" ht="16.5" x14ac:dyDescent="0.3">
      <c r="A64" s="96" t="s">
        <v>372</v>
      </c>
      <c r="B64" s="96">
        <v>25</v>
      </c>
      <c r="C64" s="682">
        <v>25</v>
      </c>
      <c r="D64" s="681">
        <v>25</v>
      </c>
      <c r="E64" s="681">
        <v>25</v>
      </c>
      <c r="F64" s="681"/>
      <c r="G64" s="681"/>
      <c r="H64" s="681">
        <v>40.68</v>
      </c>
      <c r="I64" s="681">
        <v>41</v>
      </c>
      <c r="J64" s="681">
        <v>25</v>
      </c>
      <c r="K64" s="681">
        <v>25</v>
      </c>
      <c r="L64" s="681">
        <v>50.5</v>
      </c>
      <c r="M64" s="681">
        <v>51</v>
      </c>
      <c r="N64" s="681"/>
      <c r="O64" s="681"/>
      <c r="P64" s="681"/>
      <c r="Q64" s="681"/>
      <c r="R64" s="681"/>
      <c r="S64" s="681"/>
      <c r="T64" s="681"/>
      <c r="U64" s="681"/>
      <c r="V64" s="681">
        <v>34.97</v>
      </c>
      <c r="W64" s="681">
        <v>35</v>
      </c>
      <c r="X64" s="681"/>
      <c r="Y64" s="681"/>
      <c r="Z64" s="681">
        <v>25</v>
      </c>
      <c r="AA64" s="681">
        <v>25</v>
      </c>
      <c r="AB64" s="681"/>
      <c r="AC64" s="681"/>
      <c r="AD64" s="681">
        <v>45.04</v>
      </c>
      <c r="AE64" s="681">
        <v>45</v>
      </c>
      <c r="AF64" s="681">
        <v>25</v>
      </c>
      <c r="AG64" s="681">
        <v>25</v>
      </c>
      <c r="AH64" s="681">
        <v>40</v>
      </c>
      <c r="AI64" s="681">
        <v>44</v>
      </c>
      <c r="AJ64" s="681">
        <v>10.91</v>
      </c>
      <c r="AK64" s="681">
        <v>11</v>
      </c>
      <c r="AL64" s="681"/>
      <c r="AM64" s="681"/>
      <c r="AN64" s="681"/>
      <c r="AO64" s="681"/>
      <c r="AP64" s="681"/>
      <c r="AQ64" s="681">
        <v>25</v>
      </c>
      <c r="AR64" s="681"/>
      <c r="AS64" s="681">
        <v>25</v>
      </c>
      <c r="AT64" s="681"/>
      <c r="AU64" s="687"/>
      <c r="AV64" s="1018">
        <f t="shared" si="4"/>
        <v>347.1</v>
      </c>
      <c r="AW64" s="1019">
        <f t="shared" si="5"/>
        <v>402</v>
      </c>
      <c r="AX64" s="687">
        <v>8.1199999999999992</v>
      </c>
      <c r="AY64" s="682">
        <v>7.96</v>
      </c>
      <c r="AZ64" s="682">
        <f t="shared" si="1"/>
        <v>355.22</v>
      </c>
      <c r="BA64" s="682">
        <f t="shared" si="1"/>
        <v>409.96</v>
      </c>
    </row>
    <row r="65" spans="1:53" ht="16.5" x14ac:dyDescent="0.3">
      <c r="A65" s="96" t="s">
        <v>373</v>
      </c>
      <c r="B65" s="96"/>
      <c r="C65" s="682"/>
      <c r="D65" s="681">
        <v>820.52</v>
      </c>
      <c r="E65" s="681">
        <v>821</v>
      </c>
      <c r="F65" s="681"/>
      <c r="G65" s="681"/>
      <c r="H65" s="681"/>
      <c r="I65" s="681"/>
      <c r="J65" s="681">
        <v>3029</v>
      </c>
      <c r="K65" s="681">
        <v>1929</v>
      </c>
      <c r="L65" s="681">
        <v>15131</v>
      </c>
      <c r="M65" s="681">
        <v>15913</v>
      </c>
      <c r="N65" s="681">
        <v>1837.94</v>
      </c>
      <c r="O65" s="681">
        <v>1316</v>
      </c>
      <c r="P65" s="681"/>
      <c r="Q65" s="681"/>
      <c r="R65" s="681">
        <v>25356.45</v>
      </c>
      <c r="S65" s="681">
        <v>25356</v>
      </c>
      <c r="T65" s="681">
        <v>457.79</v>
      </c>
      <c r="U65" s="681">
        <v>519</v>
      </c>
      <c r="V65" s="681">
        <v>6621.57</v>
      </c>
      <c r="W65" s="681">
        <v>10119</v>
      </c>
      <c r="X65" s="681">
        <v>15369.96</v>
      </c>
      <c r="Y65" s="681">
        <v>15370</v>
      </c>
      <c r="Z65" s="681">
        <v>4889.7299999999996</v>
      </c>
      <c r="AA65" s="681">
        <v>7767</v>
      </c>
      <c r="AB65" s="681">
        <v>4924.87</v>
      </c>
      <c r="AC65" s="681">
        <v>7592</v>
      </c>
      <c r="AD65" s="681">
        <v>22277</v>
      </c>
      <c r="AE65" s="681">
        <v>23339</v>
      </c>
      <c r="AF65" s="681">
        <v>576</v>
      </c>
      <c r="AG65" s="681"/>
      <c r="AH65" s="681">
        <v>1506</v>
      </c>
      <c r="AI65" s="681">
        <v>1506</v>
      </c>
      <c r="AJ65" s="681">
        <v>16113.23</v>
      </c>
      <c r="AK65" s="681">
        <v>16062</v>
      </c>
      <c r="AL65" s="681"/>
      <c r="AM65" s="681"/>
      <c r="AN65" s="681"/>
      <c r="AO65" s="681"/>
      <c r="AP65" s="681"/>
      <c r="AQ65" s="681"/>
      <c r="AR65" s="681">
        <v>8535.2800000000007</v>
      </c>
      <c r="AS65" s="681">
        <v>8732</v>
      </c>
      <c r="AT65" s="681">
        <v>85.6</v>
      </c>
      <c r="AU65" s="687">
        <v>124</v>
      </c>
      <c r="AV65" s="1018">
        <f t="shared" si="4"/>
        <v>127531.94</v>
      </c>
      <c r="AW65" s="1019">
        <f t="shared" si="5"/>
        <v>136465</v>
      </c>
      <c r="AX65" s="687">
        <v>2476139</v>
      </c>
      <c r="AY65" s="682">
        <v>2035077</v>
      </c>
      <c r="AZ65" s="682">
        <f t="shared" si="1"/>
        <v>2603670.94</v>
      </c>
      <c r="BA65" s="682">
        <f t="shared" si="1"/>
        <v>2171542</v>
      </c>
    </row>
    <row r="66" spans="1:53" ht="16.5" x14ac:dyDescent="0.3">
      <c r="A66" s="96" t="s">
        <v>374</v>
      </c>
      <c r="B66" s="96"/>
      <c r="C66" s="682"/>
      <c r="D66" s="681"/>
      <c r="E66" s="681"/>
      <c r="F66" s="681"/>
      <c r="G66" s="681"/>
      <c r="H66" s="681"/>
      <c r="I66" s="681"/>
      <c r="J66" s="681"/>
      <c r="K66" s="681"/>
      <c r="L66" s="681"/>
      <c r="M66" s="681"/>
      <c r="N66" s="681"/>
      <c r="O66" s="681"/>
      <c r="P66" s="681"/>
      <c r="Q66" s="681"/>
      <c r="R66" s="681"/>
      <c r="S66" s="681"/>
      <c r="T66" s="681"/>
      <c r="U66" s="681"/>
      <c r="V66" s="681"/>
      <c r="W66" s="681"/>
      <c r="X66" s="681"/>
      <c r="Y66" s="681"/>
      <c r="Z66" s="681"/>
      <c r="AA66" s="681"/>
      <c r="AB66" s="681"/>
      <c r="AC66" s="681"/>
      <c r="AD66" s="681"/>
      <c r="AE66" s="681"/>
      <c r="AF66" s="681"/>
      <c r="AG66" s="681"/>
      <c r="AH66" s="681"/>
      <c r="AI66" s="681"/>
      <c r="AJ66" s="681"/>
      <c r="AK66" s="681"/>
      <c r="AL66" s="681"/>
      <c r="AM66" s="681"/>
      <c r="AN66" s="681"/>
      <c r="AO66" s="681"/>
      <c r="AP66" s="681"/>
      <c r="AQ66" s="681"/>
      <c r="AR66" s="681"/>
      <c r="AS66" s="681"/>
      <c r="AT66" s="681"/>
      <c r="AU66" s="687"/>
      <c r="AV66" s="1018">
        <f t="shared" si="4"/>
        <v>0</v>
      </c>
      <c r="AW66" s="1019">
        <f t="shared" si="5"/>
        <v>0</v>
      </c>
      <c r="AX66" s="687"/>
      <c r="AY66" s="682"/>
      <c r="AZ66" s="682">
        <f t="shared" si="1"/>
        <v>0</v>
      </c>
      <c r="BA66" s="682">
        <f t="shared" si="1"/>
        <v>0</v>
      </c>
    </row>
    <row r="67" spans="1:53" ht="16.5" x14ac:dyDescent="0.3">
      <c r="A67" s="96" t="s">
        <v>375</v>
      </c>
      <c r="B67" s="96"/>
      <c r="C67" s="682"/>
      <c r="D67" s="681">
        <v>731.12</v>
      </c>
      <c r="E67" s="681">
        <v>664</v>
      </c>
      <c r="F67" s="681"/>
      <c r="G67" s="681"/>
      <c r="H67" s="681"/>
      <c r="I67" s="681"/>
      <c r="J67" s="681"/>
      <c r="K67" s="681"/>
      <c r="L67" s="681">
        <v>3354.23</v>
      </c>
      <c r="M67" s="681">
        <v>4488</v>
      </c>
      <c r="N67" s="681"/>
      <c r="O67" s="681"/>
      <c r="P67" s="681"/>
      <c r="Q67" s="681"/>
      <c r="R67" s="681"/>
      <c r="S67" s="681"/>
      <c r="T67" s="681">
        <v>758.11</v>
      </c>
      <c r="U67" s="681">
        <v>1633</v>
      </c>
      <c r="V67" s="681"/>
      <c r="W67" s="681"/>
      <c r="X67" s="681">
        <f>695.85+8457.91</f>
        <v>9153.76</v>
      </c>
      <c r="Y67" s="681">
        <f>808+12019</f>
        <v>12827</v>
      </c>
      <c r="Z67" s="681"/>
      <c r="AA67" s="681"/>
      <c r="AB67" s="681">
        <v>4209.21</v>
      </c>
      <c r="AC67" s="681">
        <v>5498</v>
      </c>
      <c r="AD67" s="681"/>
      <c r="AE67" s="681"/>
      <c r="AF67" s="681"/>
      <c r="AG67" s="681"/>
      <c r="AH67" s="681"/>
      <c r="AI67" s="681"/>
      <c r="AJ67" s="681"/>
      <c r="AK67" s="681"/>
      <c r="AL67" s="681"/>
      <c r="AM67" s="681"/>
      <c r="AN67" s="681"/>
      <c r="AO67" s="681"/>
      <c r="AP67" s="681"/>
      <c r="AQ67" s="681"/>
      <c r="AR67" s="681"/>
      <c r="AS67" s="681"/>
      <c r="AT67" s="681"/>
      <c r="AU67" s="687"/>
      <c r="AV67" s="1018">
        <f t="shared" si="4"/>
        <v>18206.43</v>
      </c>
      <c r="AW67" s="1019">
        <f t="shared" si="5"/>
        <v>25110</v>
      </c>
      <c r="AX67" s="687"/>
      <c r="AY67" s="682"/>
      <c r="AZ67" s="682">
        <f t="shared" si="1"/>
        <v>18206.43</v>
      </c>
      <c r="BA67" s="682">
        <f t="shared" si="1"/>
        <v>25110</v>
      </c>
    </row>
    <row r="68" spans="1:53" ht="16.5" x14ac:dyDescent="0.3">
      <c r="A68" s="96" t="s">
        <v>73</v>
      </c>
      <c r="B68" s="96">
        <v>4521.25</v>
      </c>
      <c r="C68" s="682">
        <v>4753</v>
      </c>
      <c r="D68" s="681">
        <v>19.28</v>
      </c>
      <c r="E68" s="681">
        <v>19</v>
      </c>
      <c r="F68" s="681">
        <v>2189.25</v>
      </c>
      <c r="G68" s="681">
        <v>2012</v>
      </c>
      <c r="H68" s="681">
        <v>6727.16</v>
      </c>
      <c r="I68" s="681">
        <f>6704+767</f>
        <v>7471</v>
      </c>
      <c r="J68" s="681">
        <v>3216</v>
      </c>
      <c r="K68" s="681">
        <v>3847</v>
      </c>
      <c r="L68" s="681"/>
      <c r="M68" s="681"/>
      <c r="N68" s="681">
        <f>81.15+1851.16</f>
        <v>1932.3100000000002</v>
      </c>
      <c r="O68" s="681">
        <f>81+2773</f>
        <v>2854</v>
      </c>
      <c r="P68" s="681">
        <v>4595</v>
      </c>
      <c r="Q68" s="681">
        <v>9485</v>
      </c>
      <c r="R68" s="681">
        <f>3501.25+7419.56</f>
        <v>10920.810000000001</v>
      </c>
      <c r="S68" s="681">
        <f>3855+8128</f>
        <v>11983</v>
      </c>
      <c r="T68" s="681">
        <v>9111.11</v>
      </c>
      <c r="U68" s="681">
        <v>9111</v>
      </c>
      <c r="V68" s="681">
        <v>4051.08</v>
      </c>
      <c r="W68" s="681">
        <v>4073</v>
      </c>
      <c r="X68" s="681"/>
      <c r="Y68" s="681"/>
      <c r="Z68" s="681">
        <v>1465</v>
      </c>
      <c r="AA68" s="681">
        <v>1853</v>
      </c>
      <c r="AB68" s="681"/>
      <c r="AC68" s="681"/>
      <c r="AD68" s="681">
        <v>1587.53</v>
      </c>
      <c r="AE68" s="681">
        <v>2068</v>
      </c>
      <c r="AF68" s="681">
        <v>4952</v>
      </c>
      <c r="AG68" s="681">
        <v>8901</v>
      </c>
      <c r="AH68" s="681">
        <v>5283</v>
      </c>
      <c r="AI68" s="681">
        <v>6115</v>
      </c>
      <c r="AJ68" s="681">
        <v>3572.1</v>
      </c>
      <c r="AK68" s="681">
        <v>3852</v>
      </c>
      <c r="AL68" s="681"/>
      <c r="AM68" s="681"/>
      <c r="AN68" s="681">
        <f>16543.64+38710.2</f>
        <v>55253.84</v>
      </c>
      <c r="AO68" s="681">
        <f>21422+27529</f>
        <v>48951</v>
      </c>
      <c r="AP68" s="681">
        <v>578.35</v>
      </c>
      <c r="AQ68" s="681">
        <v>665</v>
      </c>
      <c r="AR68" s="681">
        <f>533.84+222.74</f>
        <v>756.58</v>
      </c>
      <c r="AS68" s="681">
        <f>1164+304</f>
        <v>1468</v>
      </c>
      <c r="AT68" s="681">
        <f>25.82+325.9+1742.56</f>
        <v>2094.2799999999997</v>
      </c>
      <c r="AU68" s="687">
        <f>167+466+5107</f>
        <v>5740</v>
      </c>
      <c r="AV68" s="1018">
        <f t="shared" si="4"/>
        <v>122825.93000000001</v>
      </c>
      <c r="AW68" s="1019">
        <f t="shared" si="5"/>
        <v>135221</v>
      </c>
      <c r="AX68" s="687">
        <f>37744+10068</f>
        <v>47812</v>
      </c>
      <c r="AY68" s="682">
        <f>47191+25903</f>
        <v>73094</v>
      </c>
      <c r="AZ68" s="682">
        <f t="shared" si="1"/>
        <v>170637.93</v>
      </c>
      <c r="BA68" s="682">
        <f t="shared" si="1"/>
        <v>208315</v>
      </c>
    </row>
    <row r="69" spans="1:53" ht="18.75" thickBot="1" x14ac:dyDescent="0.4">
      <c r="A69" s="813" t="s">
        <v>54</v>
      </c>
      <c r="B69" s="813">
        <f>SUM(B61:B68)</f>
        <v>49528.99</v>
      </c>
      <c r="C69" s="823">
        <f>SUM(C61:C68)</f>
        <v>28351</v>
      </c>
      <c r="D69" s="824">
        <v>1595.92</v>
      </c>
      <c r="E69" s="824">
        <v>1529</v>
      </c>
      <c r="F69" s="824">
        <f>F61+F62+F68</f>
        <v>5469.93</v>
      </c>
      <c r="G69" s="824">
        <f>G62+G68</f>
        <v>2186</v>
      </c>
      <c r="H69" s="824">
        <v>163975</v>
      </c>
      <c r="I69" s="824">
        <v>244042</v>
      </c>
      <c r="J69" s="824">
        <v>72736</v>
      </c>
      <c r="K69" s="824">
        <v>49807</v>
      </c>
      <c r="L69" s="824">
        <v>18538</v>
      </c>
      <c r="M69" s="824">
        <v>20454</v>
      </c>
      <c r="N69" s="824">
        <v>3964.34</v>
      </c>
      <c r="O69" s="824">
        <v>4226</v>
      </c>
      <c r="P69" s="824">
        <v>4595</v>
      </c>
      <c r="Q69" s="824">
        <f>SUM(Q65:Q68)</f>
        <v>9485</v>
      </c>
      <c r="R69" s="824">
        <v>39301.9</v>
      </c>
      <c r="S69" s="824">
        <v>39834</v>
      </c>
      <c r="T69" s="824">
        <v>10451.94</v>
      </c>
      <c r="U69" s="824">
        <v>18269</v>
      </c>
      <c r="V69" s="824">
        <v>185391.07</v>
      </c>
      <c r="W69" s="824">
        <v>108234</v>
      </c>
      <c r="X69" s="824">
        <v>131163.57999999999</v>
      </c>
      <c r="Y69" s="824">
        <v>98337</v>
      </c>
      <c r="Z69" s="824">
        <v>6379.39</v>
      </c>
      <c r="AA69" s="824">
        <v>9645</v>
      </c>
      <c r="AB69" s="824">
        <v>10322</v>
      </c>
      <c r="AC69" s="824">
        <v>13721</v>
      </c>
      <c r="AD69" s="824">
        <v>46721.88</v>
      </c>
      <c r="AE69" s="824">
        <v>42149</v>
      </c>
      <c r="AF69" s="824">
        <v>25390</v>
      </c>
      <c r="AG69" s="824">
        <v>21743</v>
      </c>
      <c r="AH69" s="824">
        <v>39406</v>
      </c>
      <c r="AI69" s="824">
        <v>27351</v>
      </c>
      <c r="AJ69" s="824">
        <v>25994.79</v>
      </c>
      <c r="AK69" s="824">
        <v>23234</v>
      </c>
      <c r="AL69" s="824"/>
      <c r="AM69" s="824"/>
      <c r="AN69" s="824">
        <v>164353.4</v>
      </c>
      <c r="AO69" s="824">
        <v>111051</v>
      </c>
      <c r="AP69" s="824">
        <v>578.35</v>
      </c>
      <c r="AQ69" s="824">
        <v>690</v>
      </c>
      <c r="AR69" s="824">
        <v>9392</v>
      </c>
      <c r="AS69" s="824">
        <v>10899</v>
      </c>
      <c r="AT69" s="824">
        <v>2307.69</v>
      </c>
      <c r="AU69" s="995">
        <v>6836</v>
      </c>
      <c r="AV69" s="1122">
        <f t="shared" si="4"/>
        <v>1017557.17</v>
      </c>
      <c r="AW69" s="1021">
        <f>SUM(C69+E69+G69+I69+K69+M69+O69+Q69+S69+U69+W69+Y69+AA69+AC69+AE69+AG69+AI69+AK69+AM69+AO69+AQ69+AS69+AU69)</f>
        <v>892073</v>
      </c>
      <c r="AX69" s="825">
        <v>2759045</v>
      </c>
      <c r="AY69" s="823">
        <v>2169629</v>
      </c>
      <c r="AZ69" s="683">
        <f>AV69+AX69</f>
        <v>3776602.17</v>
      </c>
      <c r="BA69" s="683">
        <f>AW69+AY69</f>
        <v>3061702</v>
      </c>
    </row>
    <row r="70" spans="1:53" x14ac:dyDescent="0.25">
      <c r="C70" s="826"/>
      <c r="D70" s="826"/>
      <c r="E70" s="826"/>
      <c r="F70" s="826"/>
      <c r="G70" s="826"/>
      <c r="H70" s="826"/>
      <c r="I70" s="826"/>
      <c r="J70" s="826"/>
      <c r="K70" s="826"/>
      <c r="L70" s="826"/>
      <c r="M70" s="826"/>
      <c r="N70" s="826"/>
      <c r="O70" s="826"/>
      <c r="P70" s="826"/>
      <c r="Q70" s="826"/>
      <c r="R70" s="826"/>
      <c r="S70" s="826"/>
      <c r="T70" s="826"/>
      <c r="U70" s="826"/>
      <c r="V70" s="826"/>
      <c r="W70" s="826"/>
      <c r="X70" s="826"/>
      <c r="Y70" s="826"/>
      <c r="Z70" s="826"/>
      <c r="AA70" s="826"/>
      <c r="AB70" s="826"/>
      <c r="AC70" s="826"/>
      <c r="AD70" s="826"/>
      <c r="AE70" s="826"/>
      <c r="AF70" s="826"/>
      <c r="AG70" s="826"/>
      <c r="AH70" s="826"/>
      <c r="AI70" s="826"/>
      <c r="AJ70" s="826"/>
      <c r="AK70" s="826"/>
      <c r="AL70" s="826"/>
      <c r="AM70" s="826"/>
      <c r="AN70" s="826"/>
      <c r="AO70" s="826"/>
      <c r="AP70" s="826"/>
      <c r="AQ70" s="826"/>
      <c r="AR70" s="826"/>
      <c r="AS70" s="826"/>
      <c r="AT70" s="826"/>
      <c r="AU70" s="826"/>
      <c r="AV70" s="826"/>
      <c r="AW70" s="826"/>
      <c r="AX70" s="826"/>
      <c r="AY70" s="826"/>
      <c r="AZ70" s="826"/>
      <c r="BA70" s="826"/>
    </row>
    <row r="71" spans="1:53" x14ac:dyDescent="0.25">
      <c r="C71" s="826"/>
      <c r="D71" s="826"/>
      <c r="E71" s="826"/>
      <c r="F71" s="826"/>
      <c r="G71" s="826"/>
      <c r="H71" s="826"/>
      <c r="I71" s="826"/>
      <c r="J71" s="826"/>
      <c r="K71" s="826"/>
      <c r="L71" s="826"/>
      <c r="M71" s="826"/>
      <c r="N71" s="826"/>
      <c r="O71" s="826"/>
      <c r="P71" s="826"/>
      <c r="Q71" s="826"/>
      <c r="R71" s="826"/>
      <c r="S71" s="826"/>
      <c r="T71" s="826"/>
      <c r="U71" s="826"/>
      <c r="V71" s="826"/>
      <c r="W71" s="826"/>
      <c r="X71" s="826"/>
      <c r="Y71" s="826"/>
      <c r="Z71" s="826"/>
      <c r="AA71" s="826"/>
      <c r="AB71" s="826"/>
      <c r="AC71" s="826"/>
      <c r="AD71" s="826"/>
      <c r="AE71" s="826"/>
      <c r="AF71" s="826"/>
      <c r="AG71" s="826"/>
      <c r="AH71" s="826"/>
      <c r="AI71" s="826"/>
      <c r="AJ71" s="826"/>
      <c r="AK71" s="826"/>
      <c r="AL71" s="826"/>
      <c r="AM71" s="826"/>
      <c r="AN71" s="826"/>
      <c r="AO71" s="826"/>
      <c r="AP71" s="826"/>
      <c r="AQ71" s="826"/>
      <c r="AR71" s="826"/>
      <c r="AS71" s="826"/>
      <c r="AT71" s="826"/>
      <c r="AU71" s="826"/>
      <c r="AV71" s="826"/>
      <c r="AW71" s="826"/>
      <c r="AX71" s="826"/>
      <c r="AY71" s="826"/>
      <c r="AZ71" s="826"/>
      <c r="BA71" s="826"/>
    </row>
  </sheetData>
  <mergeCells count="26">
    <mergeCell ref="AX1:AY1"/>
    <mergeCell ref="AZ1:BA1"/>
    <mergeCell ref="AL1:AM1"/>
    <mergeCell ref="AN1:AO1"/>
    <mergeCell ref="AP1:AQ1"/>
    <mergeCell ref="AR1:AS1"/>
    <mergeCell ref="AT1:AU1"/>
    <mergeCell ref="AV1:AW1"/>
    <mergeCell ref="AJ1:AK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BA14"/>
  <sheetViews>
    <sheetView workbookViewId="0">
      <pane xSplit="1" topLeftCell="AP1" activePane="topRight" state="frozen"/>
      <selection pane="topRight" sqref="A1:IV65536"/>
    </sheetView>
  </sheetViews>
  <sheetFormatPr defaultColWidth="23.5703125" defaultRowHeight="15" x14ac:dyDescent="0.25"/>
  <cols>
    <col min="1" max="1" width="30.42578125" bestFit="1" customWidth="1"/>
    <col min="2" max="15" width="12.85546875" bestFit="1" customWidth="1"/>
    <col min="16" max="16" width="12.85546875" customWidth="1"/>
    <col min="17" max="18" width="12.85546875" bestFit="1" customWidth="1"/>
    <col min="19" max="19" width="12.85546875" customWidth="1"/>
    <col min="20" max="53" width="12.85546875" bestFit="1" customWidth="1"/>
  </cols>
  <sheetData>
    <row r="1" spans="1:53" s="95" customFormat="1" ht="18" x14ac:dyDescent="0.35">
      <c r="A1" s="1332" t="s">
        <v>58</v>
      </c>
      <c r="B1" s="1332"/>
      <c r="C1" s="1332"/>
      <c r="D1" s="1332"/>
      <c r="E1" s="1332"/>
      <c r="F1" s="1332"/>
      <c r="G1" s="1332"/>
      <c r="H1" s="1332"/>
      <c r="I1" s="1332"/>
      <c r="J1" s="1332"/>
      <c r="K1" s="1332"/>
      <c r="L1" s="1332"/>
      <c r="M1" s="1332"/>
      <c r="N1" s="1332"/>
      <c r="O1" s="1332"/>
      <c r="P1" s="1332"/>
      <c r="Q1" s="1332"/>
      <c r="R1" s="1332"/>
      <c r="S1" s="1332"/>
      <c r="T1" s="1332"/>
      <c r="U1" s="1332"/>
      <c r="V1" s="1332"/>
      <c r="W1" s="1332"/>
      <c r="X1" s="1332"/>
      <c r="Y1" s="1332"/>
      <c r="Z1" s="1332"/>
      <c r="AA1" s="1332"/>
      <c r="AB1" s="1332"/>
      <c r="AC1" s="1332"/>
      <c r="AD1" s="1332"/>
      <c r="AE1" s="1332"/>
      <c r="AF1" s="1332"/>
      <c r="AG1" s="1332"/>
      <c r="AH1" s="1332"/>
      <c r="AI1" s="1332"/>
      <c r="AJ1" s="1332"/>
      <c r="AK1" s="1332"/>
      <c r="AL1" s="1332"/>
      <c r="AM1" s="1332"/>
      <c r="AN1" s="1332"/>
      <c r="AO1" s="1332"/>
      <c r="AP1" s="1332"/>
      <c r="AQ1" s="1332"/>
      <c r="AR1" s="1332"/>
      <c r="AS1" s="1332"/>
      <c r="AT1" s="1332"/>
      <c r="AU1" s="1332"/>
      <c r="AV1" s="1332"/>
      <c r="AW1" s="1332"/>
      <c r="AX1" s="1332"/>
      <c r="AY1" s="1332"/>
    </row>
    <row r="2" spans="1:53" s="452" customFormat="1" ht="18" thickBot="1" x14ac:dyDescent="0.4">
      <c r="A2" s="1333" t="s">
        <v>427</v>
      </c>
      <c r="B2" s="1333"/>
      <c r="C2" s="1333"/>
      <c r="D2" s="1333"/>
      <c r="E2" s="1333"/>
      <c r="F2" s="1333"/>
      <c r="G2" s="1333"/>
      <c r="H2" s="1333"/>
      <c r="I2" s="1333"/>
      <c r="J2" s="1333"/>
      <c r="K2" s="1333"/>
      <c r="L2" s="1333"/>
      <c r="M2" s="1333"/>
      <c r="N2" s="1333"/>
      <c r="O2" s="1333"/>
      <c r="P2" s="1333"/>
      <c r="Q2" s="1333"/>
      <c r="R2" s="1333"/>
      <c r="S2" s="1333"/>
      <c r="T2" s="1333"/>
      <c r="U2" s="1333"/>
      <c r="V2" s="1333"/>
      <c r="W2" s="1333"/>
      <c r="X2" s="1333"/>
      <c r="Y2" s="1333"/>
      <c r="Z2" s="1333"/>
      <c r="AA2" s="1333"/>
      <c r="AB2" s="1333"/>
      <c r="AC2" s="1333"/>
      <c r="AD2" s="1333"/>
      <c r="AE2" s="1333"/>
      <c r="AF2" s="1333"/>
      <c r="AG2" s="1333"/>
      <c r="AH2" s="1333"/>
      <c r="AI2" s="1333"/>
      <c r="AJ2" s="1333"/>
      <c r="AK2" s="1333"/>
      <c r="AL2" s="1333"/>
      <c r="AM2" s="1333"/>
      <c r="AN2" s="1333"/>
      <c r="AO2" s="1333"/>
      <c r="AP2" s="1333"/>
      <c r="AQ2" s="1333"/>
      <c r="AR2" s="1333"/>
      <c r="AS2" s="1333"/>
      <c r="AT2" s="1333"/>
      <c r="AU2" s="1333"/>
      <c r="AV2" s="1333"/>
      <c r="AW2" s="1333"/>
      <c r="AX2" s="1333"/>
      <c r="AY2" s="1333"/>
    </row>
    <row r="3" spans="1:53" s="694" customFormat="1" ht="30.75" customHeight="1" x14ac:dyDescent="0.25">
      <c r="A3" s="1334" t="s">
        <v>0</v>
      </c>
      <c r="B3" s="1329" t="s">
        <v>158</v>
      </c>
      <c r="C3" s="1328"/>
      <c r="D3" s="1329" t="s">
        <v>159</v>
      </c>
      <c r="E3" s="1328"/>
      <c r="F3" s="1327" t="s">
        <v>160</v>
      </c>
      <c r="G3" s="1328"/>
      <c r="H3" s="1329" t="s">
        <v>161</v>
      </c>
      <c r="I3" s="1328"/>
      <c r="J3" s="1329" t="s">
        <v>162</v>
      </c>
      <c r="K3" s="1328"/>
      <c r="L3" s="1327" t="s">
        <v>163</v>
      </c>
      <c r="M3" s="1328"/>
      <c r="N3" s="1329" t="s">
        <v>312</v>
      </c>
      <c r="O3" s="1328"/>
      <c r="P3" s="1329" t="s">
        <v>164</v>
      </c>
      <c r="Q3" s="1328"/>
      <c r="R3" s="1329" t="s">
        <v>165</v>
      </c>
      <c r="S3" s="1328"/>
      <c r="T3" s="1329" t="s">
        <v>166</v>
      </c>
      <c r="U3" s="1328"/>
      <c r="V3" s="1329" t="s">
        <v>167</v>
      </c>
      <c r="W3" s="1328"/>
      <c r="X3" s="1327" t="s">
        <v>168</v>
      </c>
      <c r="Y3" s="1328"/>
      <c r="Z3" s="1329" t="s">
        <v>383</v>
      </c>
      <c r="AA3" s="1328"/>
      <c r="AB3" s="1329" t="s">
        <v>169</v>
      </c>
      <c r="AC3" s="1328"/>
      <c r="AD3" s="1330" t="s">
        <v>170</v>
      </c>
      <c r="AE3" s="1331"/>
      <c r="AF3" s="1327" t="s">
        <v>171</v>
      </c>
      <c r="AG3" s="1328"/>
      <c r="AH3" s="1327" t="s">
        <v>172</v>
      </c>
      <c r="AI3" s="1328"/>
      <c r="AJ3" s="1329" t="s">
        <v>173</v>
      </c>
      <c r="AK3" s="1328"/>
      <c r="AL3" s="1330" t="s">
        <v>174</v>
      </c>
      <c r="AM3" s="1331"/>
      <c r="AN3" s="1327" t="s">
        <v>175</v>
      </c>
      <c r="AO3" s="1328"/>
      <c r="AP3" s="1329" t="s">
        <v>176</v>
      </c>
      <c r="AQ3" s="1328"/>
      <c r="AR3" s="1327" t="s">
        <v>177</v>
      </c>
      <c r="AS3" s="1328"/>
      <c r="AT3" s="1327" t="s">
        <v>178</v>
      </c>
      <c r="AU3" s="1328"/>
      <c r="AV3" s="1329" t="s">
        <v>1</v>
      </c>
      <c r="AW3" s="1328"/>
      <c r="AX3" s="1336" t="s">
        <v>179</v>
      </c>
      <c r="AY3" s="1337"/>
      <c r="AZ3" s="1330" t="s">
        <v>2</v>
      </c>
      <c r="BA3" s="1331"/>
    </row>
    <row r="4" spans="1:53" s="453" customFormat="1" ht="15.75" thickBot="1" x14ac:dyDescent="0.3">
      <c r="A4" s="1335"/>
      <c r="B4" s="784" t="s">
        <v>380</v>
      </c>
      <c r="C4" s="451" t="s">
        <v>423</v>
      </c>
      <c r="D4" s="784" t="s">
        <v>380</v>
      </c>
      <c r="E4" s="451" t="s">
        <v>423</v>
      </c>
      <c r="F4" s="784" t="s">
        <v>380</v>
      </c>
      <c r="G4" s="451" t="s">
        <v>423</v>
      </c>
      <c r="H4" s="784" t="s">
        <v>380</v>
      </c>
      <c r="I4" s="451" t="s">
        <v>423</v>
      </c>
      <c r="J4" s="784" t="s">
        <v>380</v>
      </c>
      <c r="K4" s="451" t="s">
        <v>423</v>
      </c>
      <c r="L4" s="784" t="s">
        <v>380</v>
      </c>
      <c r="M4" s="451" t="s">
        <v>423</v>
      </c>
      <c r="N4" s="784" t="s">
        <v>380</v>
      </c>
      <c r="O4" s="451" t="s">
        <v>423</v>
      </c>
      <c r="P4" s="784" t="s">
        <v>380</v>
      </c>
      <c r="Q4" s="451" t="s">
        <v>423</v>
      </c>
      <c r="R4" s="784" t="s">
        <v>380</v>
      </c>
      <c r="S4" s="451" t="s">
        <v>423</v>
      </c>
      <c r="T4" s="784" t="s">
        <v>380</v>
      </c>
      <c r="U4" s="451" t="s">
        <v>423</v>
      </c>
      <c r="V4" s="784" t="s">
        <v>380</v>
      </c>
      <c r="W4" s="451" t="s">
        <v>423</v>
      </c>
      <c r="X4" s="784" t="s">
        <v>380</v>
      </c>
      <c r="Y4" s="451" t="s">
        <v>423</v>
      </c>
      <c r="Z4" s="784" t="s">
        <v>380</v>
      </c>
      <c r="AA4" s="451" t="s">
        <v>423</v>
      </c>
      <c r="AB4" s="784" t="s">
        <v>380</v>
      </c>
      <c r="AC4" s="451" t="s">
        <v>423</v>
      </c>
      <c r="AD4" s="784" t="s">
        <v>380</v>
      </c>
      <c r="AE4" s="451" t="s">
        <v>423</v>
      </c>
      <c r="AF4" s="784" t="s">
        <v>380</v>
      </c>
      <c r="AG4" s="451" t="s">
        <v>423</v>
      </c>
      <c r="AH4" s="784" t="s">
        <v>380</v>
      </c>
      <c r="AI4" s="451" t="s">
        <v>423</v>
      </c>
      <c r="AJ4" s="784" t="s">
        <v>380</v>
      </c>
      <c r="AK4" s="451" t="s">
        <v>423</v>
      </c>
      <c r="AL4" s="784" t="s">
        <v>380</v>
      </c>
      <c r="AM4" s="451" t="s">
        <v>423</v>
      </c>
      <c r="AN4" s="784" t="s">
        <v>380</v>
      </c>
      <c r="AO4" s="451" t="s">
        <v>423</v>
      </c>
      <c r="AP4" s="784" t="s">
        <v>380</v>
      </c>
      <c r="AQ4" s="451" t="s">
        <v>423</v>
      </c>
      <c r="AR4" s="784" t="s">
        <v>380</v>
      </c>
      <c r="AS4" s="451" t="s">
        <v>423</v>
      </c>
      <c r="AT4" s="784" t="s">
        <v>380</v>
      </c>
      <c r="AU4" s="451" t="s">
        <v>423</v>
      </c>
      <c r="AV4" s="784" t="s">
        <v>380</v>
      </c>
      <c r="AW4" s="451" t="s">
        <v>423</v>
      </c>
      <c r="AX4" s="784" t="s">
        <v>380</v>
      </c>
      <c r="AY4" s="451" t="s">
        <v>423</v>
      </c>
      <c r="AZ4" s="784" t="s">
        <v>380</v>
      </c>
      <c r="BA4" s="451" t="s">
        <v>423</v>
      </c>
    </row>
    <row r="5" spans="1:53" s="98" customFormat="1" ht="14.25" x14ac:dyDescent="0.25">
      <c r="A5" s="368" t="s">
        <v>21</v>
      </c>
      <c r="B5" s="759"/>
      <c r="C5" s="162"/>
      <c r="D5" s="161"/>
      <c r="E5" s="162"/>
      <c r="F5" s="766"/>
      <c r="G5" s="162"/>
      <c r="H5" s="161"/>
      <c r="I5" s="162"/>
      <c r="J5" s="161"/>
      <c r="K5" s="162"/>
      <c r="L5" s="766"/>
      <c r="M5" s="162"/>
      <c r="N5" s="161"/>
      <c r="O5" s="162"/>
      <c r="P5" s="161"/>
      <c r="Q5" s="162"/>
      <c r="R5" s="161"/>
      <c r="S5" s="162"/>
      <c r="T5" s="161"/>
      <c r="U5" s="162"/>
      <c r="V5" s="165"/>
      <c r="W5" s="163"/>
      <c r="X5" s="706"/>
      <c r="Y5" s="208"/>
      <c r="Z5" s="787"/>
      <c r="AA5" s="787"/>
      <c r="AB5" s="161"/>
      <c r="AC5" s="162"/>
      <c r="AD5" s="161"/>
      <c r="AE5" s="162"/>
      <c r="AF5" s="706"/>
      <c r="AG5" s="208"/>
      <c r="AH5" s="706"/>
      <c r="AI5" s="208"/>
      <c r="AJ5" s="161"/>
      <c r="AK5" s="162"/>
      <c r="AL5" s="207"/>
      <c r="AM5" s="208"/>
      <c r="AN5" s="706"/>
      <c r="AO5" s="208"/>
      <c r="AP5" s="161"/>
      <c r="AQ5" s="162"/>
      <c r="AR5" s="706"/>
      <c r="AS5" s="208"/>
      <c r="AT5" s="706"/>
      <c r="AU5" s="208"/>
      <c r="AV5" s="369"/>
      <c r="AW5" s="370"/>
      <c r="AX5" s="161"/>
      <c r="AY5" s="162"/>
      <c r="AZ5" s="371"/>
      <c r="BA5" s="372"/>
    </row>
    <row r="6" spans="1:53" s="98" customFormat="1" ht="14.25" x14ac:dyDescent="0.3">
      <c r="A6" s="96" t="s">
        <v>22</v>
      </c>
      <c r="B6" s="760"/>
      <c r="C6" s="99"/>
      <c r="D6" s="101"/>
      <c r="E6" s="102"/>
      <c r="F6" s="767"/>
      <c r="G6" s="102"/>
      <c r="H6" s="101"/>
      <c r="I6" s="102"/>
      <c r="J6" s="101"/>
      <c r="K6" s="102"/>
      <c r="L6" s="767"/>
      <c r="M6" s="102"/>
      <c r="N6" s="101"/>
      <c r="O6" s="102"/>
      <c r="P6" s="101"/>
      <c r="Q6" s="102"/>
      <c r="R6" s="101"/>
      <c r="S6" s="102"/>
      <c r="T6" s="101"/>
      <c r="U6" s="102"/>
      <c r="V6" s="104"/>
      <c r="W6" s="105"/>
      <c r="X6" s="767"/>
      <c r="Y6" s="102"/>
      <c r="Z6" s="788"/>
      <c r="AA6" s="788"/>
      <c r="AB6" s="101"/>
      <c r="AC6" s="102"/>
      <c r="AD6" s="101"/>
      <c r="AE6" s="102"/>
      <c r="AF6" s="767"/>
      <c r="AG6" s="102"/>
      <c r="AH6" s="767"/>
      <c r="AI6" s="102"/>
      <c r="AJ6" s="101"/>
      <c r="AK6" s="102"/>
      <c r="AL6" s="100"/>
      <c r="AM6" s="102"/>
      <c r="AN6" s="374"/>
      <c r="AO6" s="97"/>
      <c r="AP6" s="107"/>
      <c r="AQ6" s="795"/>
      <c r="AR6" s="793"/>
      <c r="AS6" s="109"/>
      <c r="AT6" s="767"/>
      <c r="AU6" s="102"/>
      <c r="AV6" s="110"/>
      <c r="AW6" s="111"/>
      <c r="AX6" s="108"/>
      <c r="AY6" s="109"/>
      <c r="AZ6" s="101"/>
      <c r="BA6" s="97"/>
    </row>
    <row r="7" spans="1:53" s="98" customFormat="1" ht="14.25" x14ac:dyDescent="0.3">
      <c r="A7" s="96" t="s">
        <v>23</v>
      </c>
      <c r="B7" s="752">
        <v>205477.32</v>
      </c>
      <c r="C7" s="113">
        <v>239296</v>
      </c>
      <c r="D7" s="104">
        <v>5562.94</v>
      </c>
      <c r="E7" s="105">
        <v>1625</v>
      </c>
      <c r="F7" s="128">
        <v>20605.46</v>
      </c>
      <c r="G7" s="105">
        <v>27296</v>
      </c>
      <c r="H7" s="104">
        <v>246058.18</v>
      </c>
      <c r="I7" s="105">
        <v>365555</v>
      </c>
      <c r="J7" s="104">
        <v>55951.14</v>
      </c>
      <c r="K7" s="105">
        <v>70682</v>
      </c>
      <c r="L7" s="128">
        <v>100689.54</v>
      </c>
      <c r="M7" s="105">
        <v>133613</v>
      </c>
      <c r="N7" s="104">
        <v>11041.35</v>
      </c>
      <c r="O7" s="105">
        <v>11451</v>
      </c>
      <c r="P7" s="104">
        <v>43235.5</v>
      </c>
      <c r="Q7" s="105">
        <v>42385</v>
      </c>
      <c r="R7" s="104">
        <v>68755.11</v>
      </c>
      <c r="S7" s="105">
        <v>85891</v>
      </c>
      <c r="T7" s="104">
        <v>44068.54</v>
      </c>
      <c r="U7" s="105">
        <v>42994</v>
      </c>
      <c r="V7" s="104">
        <v>685842.7</v>
      </c>
      <c r="W7" s="105">
        <v>805437</v>
      </c>
      <c r="X7" s="128">
        <v>518720.01</v>
      </c>
      <c r="Y7" s="105">
        <v>596551</v>
      </c>
      <c r="Z7" s="789">
        <v>26701.65</v>
      </c>
      <c r="AA7" s="789">
        <v>36748</v>
      </c>
      <c r="AB7" s="101">
        <v>89144.995899999994</v>
      </c>
      <c r="AC7" s="102">
        <v>133625</v>
      </c>
      <c r="AD7" s="104">
        <v>297838.95</v>
      </c>
      <c r="AE7" s="105">
        <v>318902</v>
      </c>
      <c r="AF7" s="128">
        <v>483337.23</v>
      </c>
      <c r="AG7" s="105">
        <v>531749</v>
      </c>
      <c r="AH7" s="128">
        <v>151127</v>
      </c>
      <c r="AI7" s="105">
        <v>187685</v>
      </c>
      <c r="AJ7" s="104">
        <v>106513.65</v>
      </c>
      <c r="AK7" s="105">
        <v>121270</v>
      </c>
      <c r="AL7" s="100"/>
      <c r="AM7" s="102"/>
      <c r="AN7" s="76">
        <v>1033810.43</v>
      </c>
      <c r="AO7" s="77">
        <v>1294154</v>
      </c>
      <c r="AP7" s="118">
        <v>62051.87</v>
      </c>
      <c r="AQ7" s="780">
        <v>74142</v>
      </c>
      <c r="AR7" s="737">
        <v>79130.720000000001</v>
      </c>
      <c r="AS7" s="780">
        <v>154115</v>
      </c>
      <c r="AT7" s="128">
        <v>351251.33</v>
      </c>
      <c r="AU7" s="105">
        <v>463546</v>
      </c>
      <c r="AV7" s="121">
        <f t="shared" ref="AV7:AW10" si="0">SUM(B7+D7+F7+H7+J7+L7+N7+P7+R7+T7+V7+X7+Z7+AB7+AD7+AF7+AH7+AJ7+AL7+AN7+AP7+AR7+AT7)</f>
        <v>4686915.6158999996</v>
      </c>
      <c r="AW7" s="122">
        <f t="shared" si="0"/>
        <v>5738712</v>
      </c>
      <c r="AX7" s="119">
        <v>3393085.77</v>
      </c>
      <c r="AY7" s="120">
        <v>3664934</v>
      </c>
      <c r="AZ7" s="121">
        <f t="shared" ref="AZ7:BA10" si="1">AV7+AX7</f>
        <v>8080001.3859000001</v>
      </c>
      <c r="BA7" s="122">
        <f t="shared" si="1"/>
        <v>9403646</v>
      </c>
    </row>
    <row r="8" spans="1:53" s="98" customFormat="1" ht="14.25" x14ac:dyDescent="0.3">
      <c r="A8" s="96" t="s">
        <v>24</v>
      </c>
      <c r="B8" s="752">
        <v>521154.03</v>
      </c>
      <c r="C8" s="113">
        <v>647528</v>
      </c>
      <c r="D8" s="104">
        <v>46429.599999999999</v>
      </c>
      <c r="E8" s="105">
        <v>39979</v>
      </c>
      <c r="F8" s="128">
        <v>94514.22</v>
      </c>
      <c r="G8" s="105">
        <v>97547</v>
      </c>
      <c r="H8" s="104">
        <v>571160.75</v>
      </c>
      <c r="I8" s="105">
        <v>699061</v>
      </c>
      <c r="J8" s="104">
        <v>149797.66</v>
      </c>
      <c r="K8" s="105">
        <v>166632</v>
      </c>
      <c r="L8" s="128">
        <v>281477.84999999998</v>
      </c>
      <c r="M8" s="105">
        <v>309420</v>
      </c>
      <c r="N8" s="104">
        <v>76659.570000000007</v>
      </c>
      <c r="O8" s="105">
        <v>79392</v>
      </c>
      <c r="P8" s="104">
        <v>79281.27</v>
      </c>
      <c r="Q8" s="105">
        <v>98375</v>
      </c>
      <c r="R8" s="104">
        <v>254370.12</v>
      </c>
      <c r="S8" s="105">
        <v>276587</v>
      </c>
      <c r="T8" s="104">
        <v>79931.710000000006</v>
      </c>
      <c r="U8" s="105">
        <v>97657</v>
      </c>
      <c r="V8" s="104">
        <v>1847686.74</v>
      </c>
      <c r="W8" s="105">
        <v>2180801</v>
      </c>
      <c r="X8" s="128">
        <v>2250676.12</v>
      </c>
      <c r="Y8" s="105">
        <v>2195575</v>
      </c>
      <c r="Z8" s="789">
        <v>132689.97</v>
      </c>
      <c r="AA8" s="789">
        <v>139089</v>
      </c>
      <c r="AB8" s="101">
        <v>200493.24129999999</v>
      </c>
      <c r="AC8" s="102">
        <v>242035</v>
      </c>
      <c r="AD8" s="104">
        <v>584370.66</v>
      </c>
      <c r="AE8" s="105">
        <v>687235</v>
      </c>
      <c r="AF8" s="128">
        <v>1219167.43</v>
      </c>
      <c r="AG8" s="105">
        <v>1450925</v>
      </c>
      <c r="AH8" s="128">
        <v>403650</v>
      </c>
      <c r="AI8" s="105">
        <v>488016</v>
      </c>
      <c r="AJ8" s="104">
        <v>360144.88</v>
      </c>
      <c r="AK8" s="105">
        <v>375426</v>
      </c>
      <c r="AL8" s="100"/>
      <c r="AM8" s="102"/>
      <c r="AN8" s="76">
        <v>2962992.23</v>
      </c>
      <c r="AO8" s="77">
        <v>3330229</v>
      </c>
      <c r="AP8" s="118">
        <v>113835.43</v>
      </c>
      <c r="AQ8" s="780">
        <v>128001</v>
      </c>
      <c r="AR8" s="737">
        <v>183471.09</v>
      </c>
      <c r="AS8" s="780">
        <v>221049</v>
      </c>
      <c r="AT8" s="128">
        <v>696136.45</v>
      </c>
      <c r="AU8" s="105">
        <v>908652</v>
      </c>
      <c r="AV8" s="121">
        <f t="shared" si="0"/>
        <v>13110091.021299999</v>
      </c>
      <c r="AW8" s="122">
        <f t="shared" si="0"/>
        <v>14859211</v>
      </c>
      <c r="AX8" s="119">
        <v>21885700.449999999</v>
      </c>
      <c r="AY8" s="120">
        <v>22909279</v>
      </c>
      <c r="AZ8" s="121">
        <f t="shared" si="1"/>
        <v>34995791.471299998</v>
      </c>
      <c r="BA8" s="122">
        <f t="shared" si="1"/>
        <v>37768490</v>
      </c>
    </row>
    <row r="9" spans="1:53" s="98" customFormat="1" ht="14.25" x14ac:dyDescent="0.3">
      <c r="A9" s="96" t="s">
        <v>25</v>
      </c>
      <c r="B9" s="752">
        <v>250891.07</v>
      </c>
      <c r="C9" s="113">
        <v>327199</v>
      </c>
      <c r="D9" s="104">
        <v>614.62</v>
      </c>
      <c r="E9" s="105">
        <v>42</v>
      </c>
      <c r="F9" s="128">
        <v>1405.82</v>
      </c>
      <c r="G9" s="105">
        <v>1971</v>
      </c>
      <c r="H9" s="104">
        <v>385265.21</v>
      </c>
      <c r="I9" s="105">
        <v>548089</v>
      </c>
      <c r="J9" s="104">
        <v>22333.360000000001</v>
      </c>
      <c r="K9" s="105">
        <v>22841</v>
      </c>
      <c r="L9" s="128">
        <v>129435.58</v>
      </c>
      <c r="M9" s="105">
        <v>145960</v>
      </c>
      <c r="N9" s="104">
        <v>11659.13</v>
      </c>
      <c r="O9" s="105">
        <v>19036</v>
      </c>
      <c r="P9" s="104">
        <v>2307.0700000000002</v>
      </c>
      <c r="Q9" s="105">
        <v>5660</v>
      </c>
      <c r="R9" s="104">
        <v>9349.7199999999993</v>
      </c>
      <c r="S9" s="105">
        <v>14318</v>
      </c>
      <c r="T9" s="104">
        <v>8219.19</v>
      </c>
      <c r="U9" s="105">
        <v>2703</v>
      </c>
      <c r="V9" s="104">
        <v>1324819.8899999999</v>
      </c>
      <c r="W9" s="105">
        <v>1610045</v>
      </c>
      <c r="X9" s="128">
        <v>803886.32</v>
      </c>
      <c r="Y9" s="105">
        <v>953674</v>
      </c>
      <c r="Z9" s="789">
        <v>36472.120000000003</v>
      </c>
      <c r="AA9" s="789">
        <v>44896</v>
      </c>
      <c r="AB9" s="101">
        <v>115911.9884</v>
      </c>
      <c r="AC9" s="102">
        <v>142995</v>
      </c>
      <c r="AD9" s="104">
        <v>227812.5</v>
      </c>
      <c r="AE9" s="105">
        <v>295374</v>
      </c>
      <c r="AF9" s="128">
        <v>199285.22</v>
      </c>
      <c r="AG9" s="105">
        <v>258743</v>
      </c>
      <c r="AH9" s="128">
        <v>48505</v>
      </c>
      <c r="AI9" s="105">
        <v>59125</v>
      </c>
      <c r="AJ9" s="104">
        <v>6986.53</v>
      </c>
      <c r="AK9" s="105">
        <v>6962</v>
      </c>
      <c r="AL9" s="100"/>
      <c r="AM9" s="102"/>
      <c r="AN9" s="76">
        <v>1028614.16</v>
      </c>
      <c r="AO9" s="77">
        <v>1251581</v>
      </c>
      <c r="AP9" s="118">
        <v>25966.01</v>
      </c>
      <c r="AQ9" s="780">
        <v>34817</v>
      </c>
      <c r="AR9" s="737">
        <v>3726022</v>
      </c>
      <c r="AS9" s="780">
        <v>38516</v>
      </c>
      <c r="AT9" s="128">
        <v>63120.79</v>
      </c>
      <c r="AU9" s="105">
        <v>72304</v>
      </c>
      <c r="AV9" s="121">
        <f t="shared" si="0"/>
        <v>8428883.2983999997</v>
      </c>
      <c r="AW9" s="122">
        <f t="shared" si="0"/>
        <v>5856851</v>
      </c>
      <c r="AX9" s="119">
        <v>15049869.26</v>
      </c>
      <c r="AY9" s="120">
        <v>16228282</v>
      </c>
      <c r="AZ9" s="121">
        <f t="shared" si="1"/>
        <v>23478752.558399998</v>
      </c>
      <c r="BA9" s="122">
        <f t="shared" si="1"/>
        <v>22085133</v>
      </c>
    </row>
    <row r="10" spans="1:53" s="705" customFormat="1" ht="14.25" x14ac:dyDescent="0.3">
      <c r="A10" s="695" t="s">
        <v>26</v>
      </c>
      <c r="B10" s="699">
        <f t="shared" ref="B10:G10" si="2">SUM(B7:B9)</f>
        <v>977522.42000000016</v>
      </c>
      <c r="C10" s="697">
        <f t="shared" si="2"/>
        <v>1214023</v>
      </c>
      <c r="D10" s="696">
        <f t="shared" si="2"/>
        <v>52607.16</v>
      </c>
      <c r="E10" s="697">
        <f t="shared" si="2"/>
        <v>41646</v>
      </c>
      <c r="F10" s="696">
        <f t="shared" si="2"/>
        <v>116525.5</v>
      </c>
      <c r="G10" s="697">
        <f t="shared" si="2"/>
        <v>126814</v>
      </c>
      <c r="H10" s="696">
        <f t="shared" ref="H10:W10" si="3">SUM(H7:H9)</f>
        <v>1202484.1399999999</v>
      </c>
      <c r="I10" s="697">
        <f t="shared" si="3"/>
        <v>1612705</v>
      </c>
      <c r="J10" s="696">
        <f t="shared" si="3"/>
        <v>228082.15999999997</v>
      </c>
      <c r="K10" s="697">
        <f t="shared" si="3"/>
        <v>260155</v>
      </c>
      <c r="L10" s="696">
        <f t="shared" si="3"/>
        <v>511602.97</v>
      </c>
      <c r="M10" s="697">
        <f t="shared" si="3"/>
        <v>588993</v>
      </c>
      <c r="N10" s="696">
        <f t="shared" si="3"/>
        <v>99360.050000000017</v>
      </c>
      <c r="O10" s="697">
        <f t="shared" si="3"/>
        <v>109879</v>
      </c>
      <c r="P10" s="696">
        <f t="shared" si="3"/>
        <v>124823.84000000001</v>
      </c>
      <c r="Q10" s="697">
        <f t="shared" si="3"/>
        <v>146420</v>
      </c>
      <c r="R10" s="696">
        <f t="shared" si="3"/>
        <v>332474.94999999995</v>
      </c>
      <c r="S10" s="697">
        <f t="shared" si="3"/>
        <v>376796</v>
      </c>
      <c r="T10" s="696">
        <f t="shared" si="3"/>
        <v>132219.44</v>
      </c>
      <c r="U10" s="697">
        <f t="shared" si="3"/>
        <v>143354</v>
      </c>
      <c r="V10" s="696">
        <f t="shared" si="3"/>
        <v>3858349.33</v>
      </c>
      <c r="W10" s="697">
        <f t="shared" si="3"/>
        <v>4596283</v>
      </c>
      <c r="X10" s="696">
        <f t="shared" ref="X10:AM10" si="4">SUM(X7:X9)</f>
        <v>3573282.4499999997</v>
      </c>
      <c r="Y10" s="700">
        <f t="shared" si="4"/>
        <v>3745800</v>
      </c>
      <c r="Z10" s="697">
        <f t="shared" si="4"/>
        <v>195863.74</v>
      </c>
      <c r="AA10" s="697">
        <f t="shared" si="4"/>
        <v>220733</v>
      </c>
      <c r="AB10" s="701">
        <f t="shared" si="4"/>
        <v>405550.22560000001</v>
      </c>
      <c r="AC10" s="702">
        <f t="shared" si="4"/>
        <v>518655</v>
      </c>
      <c r="AD10" s="696">
        <f t="shared" si="4"/>
        <v>1110022.1100000001</v>
      </c>
      <c r="AE10" s="697">
        <f t="shared" si="4"/>
        <v>1301511</v>
      </c>
      <c r="AF10" s="696">
        <f t="shared" si="4"/>
        <v>1901789.88</v>
      </c>
      <c r="AG10" s="700">
        <f t="shared" si="4"/>
        <v>2241417</v>
      </c>
      <c r="AH10" s="696">
        <f t="shared" si="4"/>
        <v>603282</v>
      </c>
      <c r="AI10" s="700">
        <f t="shared" si="4"/>
        <v>734826</v>
      </c>
      <c r="AJ10" s="696">
        <f t="shared" si="4"/>
        <v>473645.06000000006</v>
      </c>
      <c r="AK10" s="697">
        <f t="shared" si="4"/>
        <v>503658</v>
      </c>
      <c r="AL10" s="699">
        <f t="shared" si="4"/>
        <v>0</v>
      </c>
      <c r="AM10" s="700">
        <f t="shared" si="4"/>
        <v>0</v>
      </c>
      <c r="AN10" s="696">
        <f t="shared" ref="AN10:AU10" si="5">SUM(AN7:AN9)</f>
        <v>5025416.82</v>
      </c>
      <c r="AO10" s="700">
        <f t="shared" si="5"/>
        <v>5875964</v>
      </c>
      <c r="AP10" s="696">
        <f t="shared" si="5"/>
        <v>201853.31</v>
      </c>
      <c r="AQ10" s="697">
        <f t="shared" si="5"/>
        <v>236960</v>
      </c>
      <c r="AR10" s="696">
        <f t="shared" si="5"/>
        <v>3988623.81</v>
      </c>
      <c r="AS10" s="700">
        <f t="shared" si="5"/>
        <v>413680</v>
      </c>
      <c r="AT10" s="696">
        <f t="shared" si="5"/>
        <v>1110508.57</v>
      </c>
      <c r="AU10" s="700">
        <f t="shared" si="5"/>
        <v>1444502</v>
      </c>
      <c r="AV10" s="703">
        <f t="shared" si="0"/>
        <v>26225889.935599998</v>
      </c>
      <c r="AW10" s="704">
        <f t="shared" si="0"/>
        <v>26454774</v>
      </c>
      <c r="AX10" s="703">
        <f>SUM(AX7:AX9)</f>
        <v>40328655.479999997</v>
      </c>
      <c r="AY10" s="704">
        <f>SUM(AY7:AY9)</f>
        <v>42802495</v>
      </c>
      <c r="AZ10" s="703">
        <f t="shared" si="1"/>
        <v>66554545.415599994</v>
      </c>
      <c r="BA10" s="704">
        <f t="shared" si="1"/>
        <v>69257269</v>
      </c>
    </row>
    <row r="11" spans="1:53" s="98" customFormat="1" ht="14.25" x14ac:dyDescent="0.3">
      <c r="A11" s="96" t="s">
        <v>27</v>
      </c>
      <c r="B11" s="752"/>
      <c r="C11" s="113"/>
      <c r="D11" s="104"/>
      <c r="E11" s="105"/>
      <c r="F11" s="128"/>
      <c r="G11" s="105"/>
      <c r="H11" s="104"/>
      <c r="I11" s="105"/>
      <c r="J11" s="104"/>
      <c r="K11" s="105"/>
      <c r="L11" s="128"/>
      <c r="M11" s="105"/>
      <c r="N11" s="104"/>
      <c r="O11" s="105"/>
      <c r="P11" s="104"/>
      <c r="Q11" s="105"/>
      <c r="R11" s="104"/>
      <c r="S11" s="105"/>
      <c r="T11" s="104"/>
      <c r="U11" s="105"/>
      <c r="V11" s="104"/>
      <c r="W11" s="105"/>
      <c r="X11" s="128"/>
      <c r="Y11" s="105"/>
      <c r="Z11" s="790"/>
      <c r="AA11" s="790"/>
      <c r="AB11" s="101"/>
      <c r="AC11" s="102"/>
      <c r="AD11" s="104"/>
      <c r="AE11" s="105"/>
      <c r="AF11" s="128"/>
      <c r="AG11" s="105"/>
      <c r="AH11" s="128"/>
      <c r="AI11" s="105"/>
      <c r="AJ11" s="104"/>
      <c r="AK11" s="105"/>
      <c r="AL11" s="100"/>
      <c r="AM11" s="102"/>
      <c r="AN11" s="374"/>
      <c r="AO11" s="97"/>
      <c r="AP11" s="118"/>
      <c r="AQ11" s="780"/>
      <c r="AR11" s="737"/>
      <c r="AS11" s="120"/>
      <c r="AT11" s="128"/>
      <c r="AU11" s="105"/>
      <c r="AV11" s="121"/>
      <c r="AW11" s="122"/>
      <c r="AX11" s="119"/>
      <c r="AY11" s="120"/>
      <c r="AZ11" s="121"/>
      <c r="BA11" s="122"/>
    </row>
    <row r="12" spans="1:53" s="98" customFormat="1" ht="14.25" x14ac:dyDescent="0.3">
      <c r="A12" s="96" t="s">
        <v>28</v>
      </c>
      <c r="B12" s="752">
        <f>B10</f>
        <v>977522.42000000016</v>
      </c>
      <c r="C12" s="113">
        <f>C10</f>
        <v>1214023</v>
      </c>
      <c r="D12" s="131">
        <f t="shared" ref="D12:W12" si="6">D10</f>
        <v>52607.16</v>
      </c>
      <c r="E12" s="132">
        <f t="shared" si="6"/>
        <v>41646</v>
      </c>
      <c r="F12" s="131">
        <f t="shared" si="6"/>
        <v>116525.5</v>
      </c>
      <c r="G12" s="132">
        <f t="shared" si="6"/>
        <v>126814</v>
      </c>
      <c r="H12" s="131">
        <f t="shared" si="6"/>
        <v>1202484.1399999999</v>
      </c>
      <c r="I12" s="132">
        <f t="shared" si="6"/>
        <v>1612705</v>
      </c>
      <c r="J12" s="131">
        <f t="shared" si="6"/>
        <v>228082.15999999997</v>
      </c>
      <c r="K12" s="132">
        <f t="shared" si="6"/>
        <v>260155</v>
      </c>
      <c r="L12" s="131">
        <f t="shared" si="6"/>
        <v>511602.97</v>
      </c>
      <c r="M12" s="132">
        <f t="shared" si="6"/>
        <v>588993</v>
      </c>
      <c r="N12" s="131">
        <f t="shared" si="6"/>
        <v>99360.050000000017</v>
      </c>
      <c r="O12" s="132">
        <f t="shared" si="6"/>
        <v>109879</v>
      </c>
      <c r="P12" s="131">
        <f t="shared" si="6"/>
        <v>124823.84000000001</v>
      </c>
      <c r="Q12" s="132">
        <f t="shared" si="6"/>
        <v>146420</v>
      </c>
      <c r="R12" s="131">
        <f t="shared" si="6"/>
        <v>332474.94999999995</v>
      </c>
      <c r="S12" s="132">
        <f t="shared" si="6"/>
        <v>376796</v>
      </c>
      <c r="T12" s="131">
        <f t="shared" si="6"/>
        <v>132219.44</v>
      </c>
      <c r="U12" s="132">
        <f t="shared" si="6"/>
        <v>143354</v>
      </c>
      <c r="V12" s="131">
        <f t="shared" si="6"/>
        <v>3858349.33</v>
      </c>
      <c r="W12" s="132">
        <f t="shared" si="6"/>
        <v>4596283</v>
      </c>
      <c r="X12" s="128">
        <f t="shared" ref="X12:AC12" si="7">X10</f>
        <v>3573282.4499999997</v>
      </c>
      <c r="Y12" s="105">
        <f t="shared" si="7"/>
        <v>3745800</v>
      </c>
      <c r="Z12" s="790">
        <f t="shared" si="7"/>
        <v>195863.74</v>
      </c>
      <c r="AA12" s="790">
        <f t="shared" si="7"/>
        <v>220733</v>
      </c>
      <c r="AB12" s="100">
        <f t="shared" si="7"/>
        <v>405550.22560000001</v>
      </c>
      <c r="AC12" s="373">
        <f t="shared" si="7"/>
        <v>518655</v>
      </c>
      <c r="AD12" s="103">
        <f t="shared" ref="AD12:AI12" si="8">AD10</f>
        <v>1110022.1100000001</v>
      </c>
      <c r="AE12" s="792">
        <f t="shared" si="8"/>
        <v>1301511</v>
      </c>
      <c r="AF12" s="128">
        <f t="shared" si="8"/>
        <v>1901789.88</v>
      </c>
      <c r="AG12" s="105">
        <f t="shared" si="8"/>
        <v>2241417</v>
      </c>
      <c r="AH12" s="128">
        <f t="shared" si="8"/>
        <v>603282</v>
      </c>
      <c r="AI12" s="105">
        <f t="shared" si="8"/>
        <v>734826</v>
      </c>
      <c r="AJ12" s="103">
        <f t="shared" ref="AJ12:AO12" si="9">AJ10</f>
        <v>473645.06000000006</v>
      </c>
      <c r="AK12" s="792">
        <f t="shared" si="9"/>
        <v>503658</v>
      </c>
      <c r="AL12" s="103">
        <f t="shared" si="9"/>
        <v>0</v>
      </c>
      <c r="AM12" s="105">
        <f t="shared" si="9"/>
        <v>0</v>
      </c>
      <c r="AN12" s="76">
        <f t="shared" si="9"/>
        <v>5025416.82</v>
      </c>
      <c r="AO12" s="77">
        <f t="shared" si="9"/>
        <v>5875964</v>
      </c>
      <c r="AP12" s="118">
        <f t="shared" ref="AP12:AU12" si="10">AP10</f>
        <v>201853.31</v>
      </c>
      <c r="AQ12" s="780">
        <f t="shared" si="10"/>
        <v>236960</v>
      </c>
      <c r="AR12" s="737">
        <f t="shared" si="10"/>
        <v>3988623.81</v>
      </c>
      <c r="AS12" s="120">
        <f t="shared" si="10"/>
        <v>413680</v>
      </c>
      <c r="AT12" s="737">
        <f t="shared" si="10"/>
        <v>1110508.57</v>
      </c>
      <c r="AU12" s="120">
        <f t="shared" si="10"/>
        <v>1444502</v>
      </c>
      <c r="AV12" s="121">
        <f>SUM(B12+D12+F12+H12+J12+L12+N12+P12+R12+T12+V12+X12+Z12+AB12+AD12+AF12+AH12+AJ12+AL12+AN12+AP12+AR12+AT12)</f>
        <v>26225889.935599998</v>
      </c>
      <c r="AW12" s="122">
        <f>SUM(C12+E12+G12+I12+K12+M12+O12+Q12+S12+U12+W12+Y12+AA12+AC12+AE12+AG12+AI12+AK12+AM12+AO12+AQ12+AS12+AU12)</f>
        <v>26454774</v>
      </c>
      <c r="AX12" s="119">
        <f>AX10</f>
        <v>40328655.479999997</v>
      </c>
      <c r="AY12" s="120">
        <f>AY10</f>
        <v>42802495</v>
      </c>
      <c r="AZ12" s="121">
        <f>AV12+AX12</f>
        <v>66554545.415599994</v>
      </c>
      <c r="BA12" s="122">
        <f>AW12+AY12</f>
        <v>69257269</v>
      </c>
    </row>
    <row r="13" spans="1:53" s="98" customFormat="1" ht="14.25" x14ac:dyDescent="0.3">
      <c r="A13" s="96" t="s">
        <v>29</v>
      </c>
      <c r="B13" s="752"/>
      <c r="C13" s="113"/>
      <c r="D13" s="104"/>
      <c r="E13" s="105"/>
      <c r="F13" s="128"/>
      <c r="G13" s="105"/>
      <c r="H13" s="104"/>
      <c r="I13" s="105"/>
      <c r="J13" s="104"/>
      <c r="K13" s="105"/>
      <c r="L13" s="128"/>
      <c r="M13" s="105"/>
      <c r="N13" s="104"/>
      <c r="O13" s="105"/>
      <c r="P13" s="104"/>
      <c r="Q13" s="105"/>
      <c r="R13" s="104"/>
      <c r="S13" s="105"/>
      <c r="T13" s="104"/>
      <c r="U13" s="105"/>
      <c r="V13" s="104"/>
      <c r="W13" s="105"/>
      <c r="X13" s="128"/>
      <c r="Y13" s="105"/>
      <c r="Z13" s="790"/>
      <c r="AA13" s="790"/>
      <c r="AB13" s="101"/>
      <c r="AC13" s="102"/>
      <c r="AD13" s="104"/>
      <c r="AE13" s="105"/>
      <c r="AF13" s="128"/>
      <c r="AG13" s="105"/>
      <c r="AH13" s="128"/>
      <c r="AI13" s="105"/>
      <c r="AJ13" s="104"/>
      <c r="AK13" s="105"/>
      <c r="AL13" s="100"/>
      <c r="AM13" s="102"/>
      <c r="AN13" s="374"/>
      <c r="AO13" s="97"/>
      <c r="AP13" s="118"/>
      <c r="AQ13" s="780"/>
      <c r="AR13" s="737"/>
      <c r="AS13" s="120"/>
      <c r="AT13" s="128"/>
      <c r="AU13" s="105"/>
      <c r="AV13" s="121"/>
      <c r="AW13" s="122"/>
      <c r="AX13" s="119"/>
      <c r="AY13" s="120"/>
      <c r="AZ13" s="121"/>
      <c r="BA13" s="122"/>
    </row>
    <row r="14" spans="1:53" s="465" customFormat="1" thickBot="1" x14ac:dyDescent="0.35">
      <c r="A14" s="454" t="s">
        <v>26</v>
      </c>
      <c r="B14" s="785">
        <f t="shared" ref="B14:W14" si="11">B10</f>
        <v>977522.42000000016</v>
      </c>
      <c r="C14" s="455">
        <f t="shared" si="11"/>
        <v>1214023</v>
      </c>
      <c r="D14" s="456">
        <f t="shared" si="11"/>
        <v>52607.16</v>
      </c>
      <c r="E14" s="457">
        <f t="shared" si="11"/>
        <v>41646</v>
      </c>
      <c r="F14" s="456">
        <f t="shared" si="11"/>
        <v>116525.5</v>
      </c>
      <c r="G14" s="457">
        <f t="shared" si="11"/>
        <v>126814</v>
      </c>
      <c r="H14" s="456">
        <f t="shared" si="11"/>
        <v>1202484.1399999999</v>
      </c>
      <c r="I14" s="457">
        <f t="shared" si="11"/>
        <v>1612705</v>
      </c>
      <c r="J14" s="456">
        <f t="shared" si="11"/>
        <v>228082.15999999997</v>
      </c>
      <c r="K14" s="457">
        <f t="shared" si="11"/>
        <v>260155</v>
      </c>
      <c r="L14" s="456">
        <f t="shared" si="11"/>
        <v>511602.97</v>
      </c>
      <c r="M14" s="457">
        <f t="shared" si="11"/>
        <v>588993</v>
      </c>
      <c r="N14" s="456">
        <f t="shared" si="11"/>
        <v>99360.050000000017</v>
      </c>
      <c r="O14" s="457">
        <f t="shared" si="11"/>
        <v>109879</v>
      </c>
      <c r="P14" s="456">
        <f t="shared" si="11"/>
        <v>124823.84000000001</v>
      </c>
      <c r="Q14" s="457">
        <f t="shared" si="11"/>
        <v>146420</v>
      </c>
      <c r="R14" s="456">
        <f t="shared" si="11"/>
        <v>332474.94999999995</v>
      </c>
      <c r="S14" s="457">
        <f t="shared" si="11"/>
        <v>376796</v>
      </c>
      <c r="T14" s="456">
        <f t="shared" si="11"/>
        <v>132219.44</v>
      </c>
      <c r="U14" s="457">
        <f t="shared" si="11"/>
        <v>143354</v>
      </c>
      <c r="V14" s="456">
        <f t="shared" si="11"/>
        <v>3858349.33</v>
      </c>
      <c r="W14" s="457">
        <f t="shared" si="11"/>
        <v>4596283</v>
      </c>
      <c r="X14" s="786">
        <f t="shared" ref="X14:AC14" si="12">X10</f>
        <v>3573282.4499999997</v>
      </c>
      <c r="Y14" s="597">
        <f t="shared" si="12"/>
        <v>3745800</v>
      </c>
      <c r="Z14" s="791">
        <f t="shared" si="12"/>
        <v>195863.74</v>
      </c>
      <c r="AA14" s="791">
        <f t="shared" si="12"/>
        <v>220733</v>
      </c>
      <c r="AB14" s="460">
        <f t="shared" si="12"/>
        <v>405550.22560000001</v>
      </c>
      <c r="AC14" s="461">
        <f t="shared" si="12"/>
        <v>518655</v>
      </c>
      <c r="AD14" s="458">
        <f t="shared" ref="AD14:AI14" si="13">AD10</f>
        <v>1110022.1100000001</v>
      </c>
      <c r="AE14" s="459">
        <f t="shared" si="13"/>
        <v>1301511</v>
      </c>
      <c r="AF14" s="786">
        <f t="shared" si="13"/>
        <v>1901789.88</v>
      </c>
      <c r="AG14" s="597">
        <f t="shared" si="13"/>
        <v>2241417</v>
      </c>
      <c r="AH14" s="786">
        <f t="shared" si="13"/>
        <v>603282</v>
      </c>
      <c r="AI14" s="597">
        <f t="shared" si="13"/>
        <v>734826</v>
      </c>
      <c r="AJ14" s="458">
        <f t="shared" ref="AJ14:AO14" si="14">AJ10</f>
        <v>473645.06000000006</v>
      </c>
      <c r="AK14" s="459">
        <f t="shared" si="14"/>
        <v>503658</v>
      </c>
      <c r="AL14" s="458">
        <f t="shared" si="14"/>
        <v>0</v>
      </c>
      <c r="AM14" s="597">
        <f t="shared" si="14"/>
        <v>0</v>
      </c>
      <c r="AN14" s="707">
        <f t="shared" si="14"/>
        <v>5025416.82</v>
      </c>
      <c r="AO14" s="598">
        <f t="shared" si="14"/>
        <v>5875964</v>
      </c>
      <c r="AP14" s="462">
        <f t="shared" ref="AP14:AU14" si="15">AP10</f>
        <v>201853.31</v>
      </c>
      <c r="AQ14" s="796">
        <f t="shared" si="15"/>
        <v>236960</v>
      </c>
      <c r="AR14" s="794">
        <f t="shared" si="15"/>
        <v>3988623.81</v>
      </c>
      <c r="AS14" s="464">
        <f t="shared" si="15"/>
        <v>413680</v>
      </c>
      <c r="AT14" s="794">
        <f t="shared" si="15"/>
        <v>1110508.57</v>
      </c>
      <c r="AU14" s="464">
        <f t="shared" si="15"/>
        <v>1444502</v>
      </c>
      <c r="AV14" s="458">
        <f>SUM(B14+D14+F14+H14+J14+L14+N14+P14+R14+T14+V14+X14+Z14+AB14+AD14+AF14+AH14+AJ14+AL14+AN14+AP14+AR14+AT14)</f>
        <v>26225889.935599998</v>
      </c>
      <c r="AW14" s="459">
        <f>SUM(C14+E14+G14+I14+K14+M14+O14+Q14+S14+U14+W14+Y14+AA14+AC14+AE14+AG14+AI14+AK14+AM14+AO14+AQ14+AS14+AU14)</f>
        <v>26454774</v>
      </c>
      <c r="AX14" s="463">
        <f>AX10</f>
        <v>40328655.479999997</v>
      </c>
      <c r="AY14" s="464">
        <f>AY10</f>
        <v>42802495</v>
      </c>
      <c r="AZ14" s="458">
        <f>AV14+AX14</f>
        <v>66554545.415599994</v>
      </c>
      <c r="BA14" s="459">
        <f>AW14+AY14</f>
        <v>69257269</v>
      </c>
    </row>
  </sheetData>
  <mergeCells count="29">
    <mergeCell ref="A1:AY1"/>
    <mergeCell ref="A2:AY2"/>
    <mergeCell ref="A3:A4"/>
    <mergeCell ref="AP3:AQ3"/>
    <mergeCell ref="AX3:AY3"/>
    <mergeCell ref="N3:O3"/>
    <mergeCell ref="P3:Q3"/>
    <mergeCell ref="R3:S3"/>
    <mergeCell ref="AH3:AI3"/>
    <mergeCell ref="AJ3:AK3"/>
    <mergeCell ref="T3:U3"/>
    <mergeCell ref="V3:W3"/>
    <mergeCell ref="X3:Y3"/>
    <mergeCell ref="AF3:AG3"/>
    <mergeCell ref="AD3:AE3"/>
    <mergeCell ref="AB3:AC3"/>
    <mergeCell ref="Z3:AA3"/>
    <mergeCell ref="AZ3:BA3"/>
    <mergeCell ref="AV3:AW3"/>
    <mergeCell ref="AR3:AS3"/>
    <mergeCell ref="AT3:AU3"/>
    <mergeCell ref="AL3:AM3"/>
    <mergeCell ref="AN3:AO3"/>
    <mergeCell ref="L3:M3"/>
    <mergeCell ref="B3:C3"/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A27"/>
  <sheetViews>
    <sheetView topLeftCell="A16" workbookViewId="0">
      <pane xSplit="1" topLeftCell="AS1" activePane="topRight" state="frozen"/>
      <selection pane="topRight" sqref="A1:IV65536"/>
    </sheetView>
  </sheetViews>
  <sheetFormatPr defaultRowHeight="12.75" x14ac:dyDescent="0.25"/>
  <cols>
    <col min="1" max="1" width="61.28515625" style="170" bestFit="1" customWidth="1"/>
    <col min="2" max="53" width="12.85546875" style="170" bestFit="1" customWidth="1"/>
    <col min="54" max="16384" width="9.140625" style="170"/>
  </cols>
  <sheetData>
    <row r="1" spans="1:53" s="203" customFormat="1" ht="14.25" x14ac:dyDescent="0.3">
      <c r="A1" s="717" t="s">
        <v>153</v>
      </c>
      <c r="B1" s="717"/>
      <c r="C1" s="717"/>
      <c r="D1" s="717"/>
      <c r="E1" s="717"/>
      <c r="F1" s="717"/>
      <c r="G1" s="717"/>
      <c r="H1" s="717"/>
      <c r="I1" s="717"/>
      <c r="J1" s="717"/>
      <c r="K1" s="717"/>
      <c r="L1" s="717"/>
      <c r="M1" s="717"/>
      <c r="N1" s="717"/>
      <c r="O1" s="717"/>
      <c r="P1" s="717"/>
      <c r="Q1" s="717"/>
      <c r="R1" s="717"/>
      <c r="S1" s="717"/>
      <c r="T1" s="717"/>
      <c r="U1" s="717"/>
      <c r="V1" s="717"/>
      <c r="W1" s="717"/>
      <c r="X1" s="717"/>
      <c r="Y1" s="717"/>
      <c r="Z1" s="717"/>
      <c r="AA1" s="717"/>
      <c r="AB1" s="717"/>
      <c r="AC1" s="717"/>
      <c r="AD1" s="717"/>
      <c r="AE1" s="717"/>
      <c r="AF1" s="717"/>
      <c r="AG1" s="717"/>
      <c r="AH1" s="717"/>
      <c r="AI1" s="717"/>
      <c r="AJ1" s="717"/>
      <c r="AK1" s="717"/>
      <c r="AL1" s="717"/>
      <c r="AM1" s="717"/>
      <c r="AN1" s="717"/>
      <c r="AO1" s="717"/>
      <c r="AP1" s="717"/>
      <c r="AQ1" s="717"/>
      <c r="AR1" s="717"/>
      <c r="AS1" s="717"/>
      <c r="AT1" s="717"/>
      <c r="AU1" s="717"/>
      <c r="AV1" s="717"/>
      <c r="AW1" s="717"/>
      <c r="AX1" s="717"/>
      <c r="AY1" s="717"/>
    </row>
    <row r="2" spans="1:53" s="466" customFormat="1" ht="16.5" thickBot="1" x14ac:dyDescent="0.4">
      <c r="A2" s="718" t="s">
        <v>427</v>
      </c>
      <c r="B2" s="718"/>
      <c r="C2" s="718"/>
      <c r="D2" s="718"/>
      <c r="E2" s="718"/>
      <c r="F2" s="718"/>
      <c r="G2" s="718"/>
      <c r="H2" s="718"/>
      <c r="I2" s="718"/>
      <c r="J2" s="718"/>
      <c r="K2" s="718"/>
      <c r="L2" s="718"/>
      <c r="M2" s="718"/>
      <c r="N2" s="718"/>
      <c r="O2" s="718"/>
      <c r="P2" s="718"/>
      <c r="Q2" s="718"/>
      <c r="R2" s="718"/>
      <c r="S2" s="718"/>
      <c r="T2" s="718"/>
      <c r="U2" s="718"/>
      <c r="V2" s="718"/>
      <c r="W2" s="718"/>
      <c r="X2" s="718"/>
      <c r="Y2" s="718"/>
      <c r="Z2" s="718"/>
      <c r="AA2" s="718"/>
      <c r="AB2" s="718"/>
      <c r="AC2" s="718"/>
      <c r="AD2" s="718"/>
      <c r="AE2" s="718"/>
      <c r="AF2" s="718"/>
      <c r="AG2" s="718"/>
      <c r="AH2" s="718"/>
      <c r="AI2" s="718"/>
      <c r="AJ2" s="718"/>
      <c r="AK2" s="718"/>
      <c r="AL2" s="718"/>
      <c r="AM2" s="718"/>
      <c r="AN2" s="718"/>
      <c r="AO2" s="718"/>
      <c r="AP2" s="718"/>
      <c r="AQ2" s="718"/>
      <c r="AR2" s="718"/>
      <c r="AS2" s="718"/>
      <c r="AT2" s="718"/>
      <c r="AU2" s="718"/>
      <c r="AV2" s="718"/>
      <c r="AW2" s="718"/>
      <c r="AX2" s="718"/>
      <c r="AY2" s="718"/>
    </row>
    <row r="3" spans="1:53" s="719" customFormat="1" ht="33" customHeight="1" thickBot="1" x14ac:dyDescent="0.3">
      <c r="A3" s="750" t="s">
        <v>0</v>
      </c>
      <c r="B3" s="1338" t="s">
        <v>158</v>
      </c>
      <c r="C3" s="1340"/>
      <c r="D3" s="1338" t="s">
        <v>159</v>
      </c>
      <c r="E3" s="1340"/>
      <c r="F3" s="1338" t="s">
        <v>160</v>
      </c>
      <c r="G3" s="1339"/>
      <c r="H3" s="1338" t="s">
        <v>161</v>
      </c>
      <c r="I3" s="1339"/>
      <c r="J3" s="1338" t="s">
        <v>162</v>
      </c>
      <c r="K3" s="1340"/>
      <c r="L3" s="1338" t="s">
        <v>163</v>
      </c>
      <c r="M3" s="1339"/>
      <c r="N3" s="1338" t="s">
        <v>312</v>
      </c>
      <c r="O3" s="1339"/>
      <c r="P3" s="1338" t="s">
        <v>164</v>
      </c>
      <c r="Q3" s="1339"/>
      <c r="R3" s="1338" t="s">
        <v>165</v>
      </c>
      <c r="S3" s="1339"/>
      <c r="T3" s="1338" t="s">
        <v>166</v>
      </c>
      <c r="U3" s="1339"/>
      <c r="V3" s="1338" t="s">
        <v>167</v>
      </c>
      <c r="W3" s="1339"/>
      <c r="X3" s="1338" t="s">
        <v>168</v>
      </c>
      <c r="Y3" s="1339"/>
      <c r="Z3" s="1338" t="s">
        <v>383</v>
      </c>
      <c r="AA3" s="1339"/>
      <c r="AB3" s="1338" t="s">
        <v>169</v>
      </c>
      <c r="AC3" s="1339"/>
      <c r="AD3" s="1341" t="s">
        <v>170</v>
      </c>
      <c r="AE3" s="1342"/>
      <c r="AF3" s="1338" t="s">
        <v>171</v>
      </c>
      <c r="AG3" s="1339"/>
      <c r="AH3" s="1338" t="s">
        <v>172</v>
      </c>
      <c r="AI3" s="1339"/>
      <c r="AJ3" s="1338" t="s">
        <v>173</v>
      </c>
      <c r="AK3" s="1339"/>
      <c r="AL3" s="1341" t="s">
        <v>174</v>
      </c>
      <c r="AM3" s="1342"/>
      <c r="AN3" s="1338" t="s">
        <v>175</v>
      </c>
      <c r="AO3" s="1339"/>
      <c r="AP3" s="1338" t="s">
        <v>176</v>
      </c>
      <c r="AQ3" s="1339"/>
      <c r="AR3" s="1345" t="s">
        <v>177</v>
      </c>
      <c r="AS3" s="1346"/>
      <c r="AT3" s="1345" t="s">
        <v>178</v>
      </c>
      <c r="AU3" s="1346"/>
      <c r="AV3" s="1345" t="s">
        <v>1</v>
      </c>
      <c r="AW3" s="1348"/>
      <c r="AX3" s="1347" t="s">
        <v>179</v>
      </c>
      <c r="AY3" s="1347"/>
      <c r="AZ3" s="1343" t="s">
        <v>2</v>
      </c>
      <c r="BA3" s="1344"/>
    </row>
    <row r="4" spans="1:53" s="466" customFormat="1" ht="14.25" customHeight="1" thickBot="1" x14ac:dyDescent="0.3">
      <c r="A4" s="751"/>
      <c r="B4" s="441" t="s">
        <v>380</v>
      </c>
      <c r="C4" s="442" t="s">
        <v>423</v>
      </c>
      <c r="D4" s="441" t="s">
        <v>380</v>
      </c>
      <c r="E4" s="442" t="s">
        <v>423</v>
      </c>
      <c r="F4" s="441" t="s">
        <v>380</v>
      </c>
      <c r="G4" s="442" t="s">
        <v>423</v>
      </c>
      <c r="H4" s="441" t="s">
        <v>380</v>
      </c>
      <c r="I4" s="442" t="s">
        <v>423</v>
      </c>
      <c r="J4" s="441" t="s">
        <v>380</v>
      </c>
      <c r="K4" s="442" t="s">
        <v>423</v>
      </c>
      <c r="L4" s="441" t="s">
        <v>380</v>
      </c>
      <c r="M4" s="442" t="s">
        <v>423</v>
      </c>
      <c r="N4" s="441" t="s">
        <v>380</v>
      </c>
      <c r="O4" s="442" t="s">
        <v>423</v>
      </c>
      <c r="P4" s="441" t="s">
        <v>380</v>
      </c>
      <c r="Q4" s="442" t="s">
        <v>423</v>
      </c>
      <c r="R4" s="441" t="s">
        <v>380</v>
      </c>
      <c r="S4" s="442" t="s">
        <v>423</v>
      </c>
      <c r="T4" s="441" t="s">
        <v>380</v>
      </c>
      <c r="U4" s="442" t="s">
        <v>423</v>
      </c>
      <c r="V4" s="441" t="s">
        <v>380</v>
      </c>
      <c r="W4" s="442" t="s">
        <v>423</v>
      </c>
      <c r="X4" s="441" t="s">
        <v>380</v>
      </c>
      <c r="Y4" s="442" t="s">
        <v>423</v>
      </c>
      <c r="Z4" s="441" t="s">
        <v>380</v>
      </c>
      <c r="AA4" s="442" t="s">
        <v>423</v>
      </c>
      <c r="AB4" s="441" t="s">
        <v>380</v>
      </c>
      <c r="AC4" s="442" t="s">
        <v>423</v>
      </c>
      <c r="AD4" s="441" t="s">
        <v>380</v>
      </c>
      <c r="AE4" s="442" t="s">
        <v>423</v>
      </c>
      <c r="AF4" s="441" t="s">
        <v>380</v>
      </c>
      <c r="AG4" s="442" t="s">
        <v>423</v>
      </c>
      <c r="AH4" s="441" t="s">
        <v>380</v>
      </c>
      <c r="AI4" s="442" t="s">
        <v>423</v>
      </c>
      <c r="AJ4" s="441" t="s">
        <v>380</v>
      </c>
      <c r="AK4" s="442" t="s">
        <v>423</v>
      </c>
      <c r="AL4" s="441" t="s">
        <v>380</v>
      </c>
      <c r="AM4" s="442" t="s">
        <v>423</v>
      </c>
      <c r="AN4" s="441" t="s">
        <v>380</v>
      </c>
      <c r="AO4" s="442" t="s">
        <v>423</v>
      </c>
      <c r="AP4" s="441" t="s">
        <v>380</v>
      </c>
      <c r="AQ4" s="442" t="s">
        <v>423</v>
      </c>
      <c r="AR4" s="441" t="s">
        <v>380</v>
      </c>
      <c r="AS4" s="442" t="s">
        <v>423</v>
      </c>
      <c r="AT4" s="441" t="s">
        <v>380</v>
      </c>
      <c r="AU4" s="442" t="s">
        <v>423</v>
      </c>
      <c r="AV4" s="441" t="s">
        <v>380</v>
      </c>
      <c r="AW4" s="442" t="s">
        <v>423</v>
      </c>
      <c r="AX4" s="441" t="s">
        <v>380</v>
      </c>
      <c r="AY4" s="442" t="s">
        <v>423</v>
      </c>
      <c r="AZ4" s="441" t="s">
        <v>380</v>
      </c>
      <c r="BA4" s="442" t="s">
        <v>423</v>
      </c>
    </row>
    <row r="5" spans="1:53" s="156" customFormat="1" ht="14.25" x14ac:dyDescent="0.25">
      <c r="A5" s="367" t="s">
        <v>59</v>
      </c>
      <c r="B5" s="166"/>
      <c r="C5" s="163"/>
      <c r="D5" s="166"/>
      <c r="E5" s="163"/>
      <c r="F5" s="166"/>
      <c r="G5" s="167"/>
      <c r="H5" s="166"/>
      <c r="I5" s="167"/>
      <c r="J5" s="166"/>
      <c r="K5" s="163"/>
      <c r="L5" s="166"/>
      <c r="M5" s="167"/>
      <c r="N5" s="166"/>
      <c r="O5" s="167"/>
      <c r="P5" s="166"/>
      <c r="Q5" s="167"/>
      <c r="R5" s="166"/>
      <c r="S5" s="167"/>
      <c r="T5" s="166"/>
      <c r="U5" s="167"/>
      <c r="V5" s="166"/>
      <c r="W5" s="167"/>
      <c r="X5" s="166"/>
      <c r="Y5" s="167"/>
      <c r="Z5" s="166"/>
      <c r="AA5" s="167"/>
      <c r="AB5" s="166"/>
      <c r="AC5" s="167"/>
      <c r="AD5" s="166"/>
      <c r="AE5" s="167"/>
      <c r="AF5" s="166"/>
      <c r="AG5" s="167"/>
      <c r="AH5" s="166"/>
      <c r="AI5" s="167"/>
      <c r="AJ5" s="166"/>
      <c r="AK5" s="167"/>
      <c r="AL5" s="166"/>
      <c r="AM5" s="167"/>
      <c r="AN5" s="166"/>
      <c r="AO5" s="167"/>
      <c r="AP5" s="166"/>
      <c r="AQ5" s="167"/>
      <c r="AR5" s="166"/>
      <c r="AS5" s="167"/>
      <c r="AT5" s="166"/>
      <c r="AU5" s="167"/>
      <c r="AV5" s="166"/>
      <c r="AW5" s="163"/>
      <c r="AX5" s="164"/>
      <c r="AY5" s="167"/>
      <c r="AZ5" s="168"/>
      <c r="BA5" s="169"/>
    </row>
    <row r="6" spans="1:53" s="156" customFormat="1" ht="14.25" x14ac:dyDescent="0.3">
      <c r="A6" s="171" t="s">
        <v>60</v>
      </c>
      <c r="B6" s="752">
        <v>32905.89</v>
      </c>
      <c r="C6" s="113">
        <v>35652</v>
      </c>
      <c r="D6" s="103">
        <v>302.95999999999998</v>
      </c>
      <c r="E6" s="105">
        <v>149</v>
      </c>
      <c r="F6" s="103">
        <v>1802</v>
      </c>
      <c r="G6" s="114">
        <v>2284</v>
      </c>
      <c r="H6" s="103">
        <v>38467.53</v>
      </c>
      <c r="I6" s="114">
        <v>58198</v>
      </c>
      <c r="J6" s="103">
        <v>9169.69</v>
      </c>
      <c r="K6" s="105">
        <v>10998</v>
      </c>
      <c r="L6" s="103">
        <v>20236.54</v>
      </c>
      <c r="M6" s="114">
        <v>24420</v>
      </c>
      <c r="N6" s="103">
        <v>1233.42</v>
      </c>
      <c r="O6" s="114">
        <v>1412</v>
      </c>
      <c r="P6" s="103">
        <v>7646.17</v>
      </c>
      <c r="Q6" s="114">
        <v>7594</v>
      </c>
      <c r="R6" s="103">
        <v>12959.66</v>
      </c>
      <c r="S6" s="114">
        <v>10278</v>
      </c>
      <c r="T6" s="103">
        <v>2557.31</v>
      </c>
      <c r="U6" s="114">
        <v>3052</v>
      </c>
      <c r="V6" s="103">
        <v>126611.84</v>
      </c>
      <c r="W6" s="114">
        <v>136813</v>
      </c>
      <c r="X6" s="103">
        <v>93061.1</v>
      </c>
      <c r="Y6" s="114">
        <v>103464</v>
      </c>
      <c r="Z6" s="747">
        <v>3800.26</v>
      </c>
      <c r="AA6" s="467">
        <v>5297</v>
      </c>
      <c r="AB6" s="103">
        <v>12128.9799</v>
      </c>
      <c r="AC6" s="114">
        <v>18726</v>
      </c>
      <c r="AD6" s="103">
        <v>26323.79</v>
      </c>
      <c r="AE6" s="114">
        <v>29662</v>
      </c>
      <c r="AF6" s="103">
        <v>84487.79</v>
      </c>
      <c r="AG6" s="114">
        <v>95875</v>
      </c>
      <c r="AH6" s="103">
        <v>20878</v>
      </c>
      <c r="AI6" s="114">
        <v>25178</v>
      </c>
      <c r="AJ6" s="103">
        <v>6744.66</v>
      </c>
      <c r="AK6" s="114">
        <v>7629</v>
      </c>
      <c r="AL6" s="103"/>
      <c r="AM6" s="114"/>
      <c r="AN6" s="743">
        <v>86357.14</v>
      </c>
      <c r="AO6" s="171">
        <v>107967</v>
      </c>
      <c r="AP6" s="741">
        <v>8162.27</v>
      </c>
      <c r="AQ6" s="129">
        <v>8130</v>
      </c>
      <c r="AR6" s="739">
        <v>10078.879999999999</v>
      </c>
      <c r="AS6" s="130">
        <v>14511</v>
      </c>
      <c r="AT6" s="103">
        <v>78108.350000000006</v>
      </c>
      <c r="AU6" s="114">
        <v>100696</v>
      </c>
      <c r="AV6" s="121">
        <f t="shared" ref="AV6:AW12" si="0">SUM(B6+D6+F6+H6+J6+L6+N6+P6+R6+T6+V6+X6+Z6+AB6+AD6+AF6+AH6+AJ6+AL6+AN6+AP6+AR6+AT6)</f>
        <v>684024.22989999992</v>
      </c>
      <c r="AW6" s="132">
        <f t="shared" si="0"/>
        <v>807985</v>
      </c>
      <c r="AX6" s="737">
        <v>896983.14</v>
      </c>
      <c r="AY6" s="130">
        <v>973096</v>
      </c>
      <c r="AZ6" s="121">
        <f t="shared" ref="AZ6:BA12" si="1">AV6+AX6</f>
        <v>1581007.3698999998</v>
      </c>
      <c r="BA6" s="122">
        <f t="shared" si="1"/>
        <v>1781081</v>
      </c>
    </row>
    <row r="7" spans="1:53" s="156" customFormat="1" ht="14.25" x14ac:dyDescent="0.3">
      <c r="A7" s="171" t="s">
        <v>61</v>
      </c>
      <c r="B7" s="752">
        <v>16405.23</v>
      </c>
      <c r="C7" s="113">
        <v>19667</v>
      </c>
      <c r="D7" s="103">
        <v>201.83</v>
      </c>
      <c r="E7" s="105">
        <v>143</v>
      </c>
      <c r="F7" s="103">
        <v>597</v>
      </c>
      <c r="G7" s="114">
        <v>819</v>
      </c>
      <c r="H7" s="103">
        <v>10158.9</v>
      </c>
      <c r="I7" s="114">
        <v>12444</v>
      </c>
      <c r="J7" s="103">
        <v>5522.95</v>
      </c>
      <c r="K7" s="105">
        <v>5007</v>
      </c>
      <c r="L7" s="103">
        <v>7795.72</v>
      </c>
      <c r="M7" s="114">
        <v>9534</v>
      </c>
      <c r="N7" s="103">
        <v>1191.27</v>
      </c>
      <c r="O7" s="114">
        <v>1088</v>
      </c>
      <c r="P7" s="103">
        <v>2043</v>
      </c>
      <c r="Q7" s="114">
        <v>2294</v>
      </c>
      <c r="R7" s="103">
        <v>5959.89</v>
      </c>
      <c r="S7" s="114">
        <v>6022</v>
      </c>
      <c r="T7" s="103">
        <v>1062.93</v>
      </c>
      <c r="U7" s="114">
        <v>1386</v>
      </c>
      <c r="V7" s="103">
        <v>27707.99</v>
      </c>
      <c r="W7" s="114">
        <v>33009</v>
      </c>
      <c r="X7" s="103">
        <v>39832.5</v>
      </c>
      <c r="Y7" s="114">
        <v>41191</v>
      </c>
      <c r="Z7" s="747">
        <v>2051.71</v>
      </c>
      <c r="AA7" s="467">
        <v>1651</v>
      </c>
      <c r="AB7" s="103">
        <v>4110.8900000000003</v>
      </c>
      <c r="AC7" s="114">
        <v>4893</v>
      </c>
      <c r="AD7" s="103">
        <v>18554.349999999999</v>
      </c>
      <c r="AE7" s="114">
        <v>20961</v>
      </c>
      <c r="AF7" s="103">
        <v>32577.1</v>
      </c>
      <c r="AG7" s="114">
        <v>36327</v>
      </c>
      <c r="AH7" s="103">
        <v>10725</v>
      </c>
      <c r="AI7" s="114">
        <v>12745</v>
      </c>
      <c r="AJ7" s="103">
        <v>7589.11</v>
      </c>
      <c r="AK7" s="114">
        <v>6922</v>
      </c>
      <c r="AL7" s="103"/>
      <c r="AM7" s="114"/>
      <c r="AN7" s="743">
        <v>76678.39</v>
      </c>
      <c r="AO7" s="171">
        <v>85551</v>
      </c>
      <c r="AP7" s="741">
        <v>3371.44</v>
      </c>
      <c r="AQ7" s="129">
        <v>3661</v>
      </c>
      <c r="AR7" s="739">
        <v>6949.63</v>
      </c>
      <c r="AS7" s="130">
        <v>7805</v>
      </c>
      <c r="AT7" s="103">
        <v>20565.57</v>
      </c>
      <c r="AU7" s="114">
        <v>22199</v>
      </c>
      <c r="AV7" s="121">
        <f t="shared" si="0"/>
        <v>301652.40000000002</v>
      </c>
      <c r="AW7" s="132">
        <f t="shared" si="0"/>
        <v>335319</v>
      </c>
      <c r="AX7" s="737">
        <v>1143474.28</v>
      </c>
      <c r="AY7" s="130">
        <v>1185064</v>
      </c>
      <c r="AZ7" s="121">
        <f t="shared" si="1"/>
        <v>1445126.6800000002</v>
      </c>
      <c r="BA7" s="122">
        <f t="shared" si="1"/>
        <v>1520383</v>
      </c>
    </row>
    <row r="8" spans="1:53" s="156" customFormat="1" ht="14.25" x14ac:dyDescent="0.3">
      <c r="A8" s="171" t="s">
        <v>62</v>
      </c>
      <c r="B8" s="752">
        <v>878.58</v>
      </c>
      <c r="C8" s="113">
        <v>1625</v>
      </c>
      <c r="D8" s="103">
        <v>1.36</v>
      </c>
      <c r="E8" s="105">
        <v>1</v>
      </c>
      <c r="F8" s="103">
        <v>0</v>
      </c>
      <c r="G8" s="114">
        <v>23</v>
      </c>
      <c r="H8" s="103">
        <v>5654.33</v>
      </c>
      <c r="I8" s="114">
        <v>8300</v>
      </c>
      <c r="J8" s="103">
        <v>171.58</v>
      </c>
      <c r="K8" s="105">
        <v>201</v>
      </c>
      <c r="L8" s="103">
        <v>1332.57</v>
      </c>
      <c r="M8" s="114">
        <v>1966</v>
      </c>
      <c r="N8" s="103">
        <v>486.07</v>
      </c>
      <c r="O8" s="114">
        <v>722</v>
      </c>
      <c r="P8" s="103">
        <v>45.67</v>
      </c>
      <c r="Q8" s="114">
        <v>94</v>
      </c>
      <c r="R8" s="103">
        <v>59.62</v>
      </c>
      <c r="S8" s="114">
        <v>138</v>
      </c>
      <c r="T8" s="103">
        <v>398.1</v>
      </c>
      <c r="U8" s="114">
        <v>88</v>
      </c>
      <c r="V8" s="103">
        <v>13302.08</v>
      </c>
      <c r="W8" s="114">
        <v>20619</v>
      </c>
      <c r="X8" s="103">
        <v>10106.82</v>
      </c>
      <c r="Y8" s="114">
        <v>14481</v>
      </c>
      <c r="Z8" s="747">
        <v>805.61</v>
      </c>
      <c r="AA8" s="467">
        <v>1162</v>
      </c>
      <c r="AB8" s="103">
        <v>896.17</v>
      </c>
      <c r="AC8" s="114">
        <v>1751</v>
      </c>
      <c r="AD8" s="103">
        <v>5299.18</v>
      </c>
      <c r="AE8" s="114">
        <v>7164</v>
      </c>
      <c r="AF8" s="103">
        <v>2853.94</v>
      </c>
      <c r="AG8" s="114">
        <v>4568</v>
      </c>
      <c r="AH8" s="103">
        <v>1794</v>
      </c>
      <c r="AI8" s="114">
        <v>1961</v>
      </c>
      <c r="AJ8" s="103">
        <v>30.07</v>
      </c>
      <c r="AK8" s="114">
        <v>31</v>
      </c>
      <c r="AL8" s="103"/>
      <c r="AM8" s="114"/>
      <c r="AN8" s="743">
        <v>11217.88</v>
      </c>
      <c r="AO8" s="171">
        <v>14887</v>
      </c>
      <c r="AP8" s="741">
        <v>404.75</v>
      </c>
      <c r="AQ8" s="129">
        <v>621</v>
      </c>
      <c r="AR8" s="739">
        <v>1191.25</v>
      </c>
      <c r="AS8" s="130">
        <v>1464</v>
      </c>
      <c r="AT8" s="103">
        <v>1091.69</v>
      </c>
      <c r="AU8" s="114">
        <v>1109</v>
      </c>
      <c r="AV8" s="121">
        <f t="shared" si="0"/>
        <v>58021.32</v>
      </c>
      <c r="AW8" s="132">
        <f t="shared" si="0"/>
        <v>82976</v>
      </c>
      <c r="AX8" s="737">
        <v>56467.46</v>
      </c>
      <c r="AY8" s="130">
        <v>49027</v>
      </c>
      <c r="AZ8" s="121">
        <f t="shared" si="1"/>
        <v>114488.78</v>
      </c>
      <c r="BA8" s="122">
        <f t="shared" si="1"/>
        <v>132003</v>
      </c>
    </row>
    <row r="9" spans="1:53" s="713" customFormat="1" ht="14.25" x14ac:dyDescent="0.3">
      <c r="A9" s="708" t="s">
        <v>54</v>
      </c>
      <c r="B9" s="699">
        <f>SUM(B6:B8)</f>
        <v>50189.7</v>
      </c>
      <c r="C9" s="714">
        <f>SUM(C6:C8)</f>
        <v>56944</v>
      </c>
      <c r="D9" s="703">
        <f>SUM(D6:D8)</f>
        <v>506.15</v>
      </c>
      <c r="E9" s="710">
        <f>SUM(E6:E8)</f>
        <v>293</v>
      </c>
      <c r="F9" s="703">
        <f t="shared" ref="F9:M9" si="2">SUM(F6:F8)</f>
        <v>2399</v>
      </c>
      <c r="G9" s="711">
        <f t="shared" si="2"/>
        <v>3126</v>
      </c>
      <c r="H9" s="703">
        <f t="shared" si="2"/>
        <v>54280.76</v>
      </c>
      <c r="I9" s="711">
        <f t="shared" si="2"/>
        <v>78942</v>
      </c>
      <c r="J9" s="703">
        <f t="shared" si="2"/>
        <v>14864.22</v>
      </c>
      <c r="K9" s="710">
        <f t="shared" si="2"/>
        <v>16206</v>
      </c>
      <c r="L9" s="703">
        <f t="shared" si="2"/>
        <v>29364.83</v>
      </c>
      <c r="M9" s="711">
        <f t="shared" si="2"/>
        <v>35920</v>
      </c>
      <c r="N9" s="703">
        <f t="shared" ref="N9:W9" si="3">SUM(N6:N8)</f>
        <v>2910.76</v>
      </c>
      <c r="O9" s="711">
        <f t="shared" si="3"/>
        <v>3222</v>
      </c>
      <c r="P9" s="703">
        <f t="shared" si="3"/>
        <v>9734.84</v>
      </c>
      <c r="Q9" s="711">
        <f t="shared" si="3"/>
        <v>9982</v>
      </c>
      <c r="R9" s="703">
        <f t="shared" si="3"/>
        <v>18979.169999999998</v>
      </c>
      <c r="S9" s="711">
        <f t="shared" si="3"/>
        <v>16438</v>
      </c>
      <c r="T9" s="703">
        <f t="shared" si="3"/>
        <v>4018.3399999999997</v>
      </c>
      <c r="U9" s="711">
        <f t="shared" si="3"/>
        <v>4526</v>
      </c>
      <c r="V9" s="703">
        <f t="shared" si="3"/>
        <v>167621.90999999997</v>
      </c>
      <c r="W9" s="711">
        <f t="shared" si="3"/>
        <v>190441</v>
      </c>
      <c r="X9" s="703">
        <f t="shared" ref="X9:AP9" si="4">SUM(X6:X8)</f>
        <v>143000.42000000001</v>
      </c>
      <c r="Y9" s="711">
        <f t="shared" si="4"/>
        <v>159136</v>
      </c>
      <c r="Z9" s="703">
        <f t="shared" si="4"/>
        <v>6657.58</v>
      </c>
      <c r="AA9" s="711">
        <f t="shared" si="4"/>
        <v>8110</v>
      </c>
      <c r="AB9" s="703">
        <f t="shared" si="4"/>
        <v>17136.0399</v>
      </c>
      <c r="AC9" s="711">
        <f t="shared" si="4"/>
        <v>25370</v>
      </c>
      <c r="AD9" s="703">
        <f t="shared" si="4"/>
        <v>50177.32</v>
      </c>
      <c r="AE9" s="711">
        <f t="shared" si="4"/>
        <v>57787</v>
      </c>
      <c r="AF9" s="703">
        <f t="shared" si="4"/>
        <v>119918.82999999999</v>
      </c>
      <c r="AG9" s="711">
        <f t="shared" si="4"/>
        <v>136770</v>
      </c>
      <c r="AH9" s="703">
        <f t="shared" si="4"/>
        <v>33397</v>
      </c>
      <c r="AI9" s="711">
        <f t="shared" si="4"/>
        <v>39884</v>
      </c>
      <c r="AJ9" s="703">
        <f t="shared" si="4"/>
        <v>14363.84</v>
      </c>
      <c r="AK9" s="711">
        <f t="shared" si="4"/>
        <v>14582</v>
      </c>
      <c r="AL9" s="703">
        <f t="shared" si="4"/>
        <v>0</v>
      </c>
      <c r="AM9" s="711">
        <f t="shared" si="4"/>
        <v>0</v>
      </c>
      <c r="AN9" s="703">
        <f t="shared" si="4"/>
        <v>174253.41</v>
      </c>
      <c r="AO9" s="711">
        <f t="shared" si="4"/>
        <v>208405</v>
      </c>
      <c r="AP9" s="703">
        <f t="shared" si="4"/>
        <v>11938.460000000001</v>
      </c>
      <c r="AQ9" s="708">
        <f>SUM(AQ6:AQ8)</f>
        <v>12412</v>
      </c>
      <c r="AR9" s="703">
        <f>SUM(AR6:AR8)</f>
        <v>18219.759999999998</v>
      </c>
      <c r="AS9" s="708">
        <f>SUM(AS6:AS8)</f>
        <v>23780</v>
      </c>
      <c r="AT9" s="703">
        <f>SUM(AT6:AT8)</f>
        <v>99765.610000000015</v>
      </c>
      <c r="AU9" s="708">
        <f>SUM(AU6:AU8)</f>
        <v>124004</v>
      </c>
      <c r="AV9" s="703">
        <f t="shared" si="0"/>
        <v>1043697.9498999999</v>
      </c>
      <c r="AW9" s="710">
        <f t="shared" si="0"/>
        <v>1226280</v>
      </c>
      <c r="AX9" s="715">
        <f>SUM(AX6:AX8)</f>
        <v>2096924.88</v>
      </c>
      <c r="AY9" s="712">
        <f>SUM(AY6:AY8)</f>
        <v>2207187</v>
      </c>
      <c r="AZ9" s="703">
        <f t="shared" si="1"/>
        <v>3140622.8298999998</v>
      </c>
      <c r="BA9" s="704">
        <f t="shared" si="1"/>
        <v>3433467</v>
      </c>
    </row>
    <row r="10" spans="1:53" s="156" customFormat="1" ht="14.25" x14ac:dyDescent="0.3">
      <c r="A10" s="171" t="s">
        <v>63</v>
      </c>
      <c r="B10" s="753"/>
      <c r="C10" s="755"/>
      <c r="D10" s="121"/>
      <c r="E10" s="125"/>
      <c r="F10" s="121"/>
      <c r="G10" s="126"/>
      <c r="H10" s="121"/>
      <c r="I10" s="126"/>
      <c r="J10" s="121"/>
      <c r="K10" s="125"/>
      <c r="L10" s="121"/>
      <c r="M10" s="126"/>
      <c r="N10" s="121"/>
      <c r="O10" s="126"/>
      <c r="P10" s="121"/>
      <c r="Q10" s="126"/>
      <c r="R10" s="121"/>
      <c r="S10" s="126"/>
      <c r="T10" s="121"/>
      <c r="U10" s="126"/>
      <c r="V10" s="121"/>
      <c r="W10" s="126"/>
      <c r="X10" s="121"/>
      <c r="Y10" s="126"/>
      <c r="Z10" s="747"/>
      <c r="AA10" s="467"/>
      <c r="AB10" s="121"/>
      <c r="AC10" s="126"/>
      <c r="AD10" s="746"/>
      <c r="AE10" s="468"/>
      <c r="AF10" s="121"/>
      <c r="AG10" s="126"/>
      <c r="AH10" s="121"/>
      <c r="AI10" s="126"/>
      <c r="AJ10" s="121"/>
      <c r="AK10" s="126"/>
      <c r="AL10" s="103"/>
      <c r="AM10" s="114"/>
      <c r="AN10" s="103"/>
      <c r="AO10" s="114"/>
      <c r="AP10" s="741"/>
      <c r="AQ10" s="129"/>
      <c r="AR10" s="739"/>
      <c r="AS10" s="130"/>
      <c r="AT10" s="121"/>
      <c r="AU10" s="126"/>
      <c r="AV10" s="121">
        <f t="shared" si="0"/>
        <v>0</v>
      </c>
      <c r="AW10" s="132">
        <f t="shared" si="0"/>
        <v>0</v>
      </c>
      <c r="AX10" s="131"/>
      <c r="AY10" s="126"/>
      <c r="AZ10" s="121">
        <f t="shared" si="1"/>
        <v>0</v>
      </c>
      <c r="BA10" s="122">
        <f t="shared" si="1"/>
        <v>0</v>
      </c>
    </row>
    <row r="11" spans="1:53" s="156" customFormat="1" ht="14.25" x14ac:dyDescent="0.3">
      <c r="A11" s="171" t="s">
        <v>64</v>
      </c>
      <c r="B11" s="752"/>
      <c r="C11" s="113"/>
      <c r="D11" s="103"/>
      <c r="E11" s="105"/>
      <c r="F11" s="103"/>
      <c r="G11" s="114"/>
      <c r="H11" s="103">
        <v>-3.66</v>
      </c>
      <c r="I11" s="114">
        <v>-4</v>
      </c>
      <c r="J11" s="103"/>
      <c r="K11" s="105"/>
      <c r="L11" s="103"/>
      <c r="M11" s="114"/>
      <c r="N11" s="103"/>
      <c r="O11" s="114"/>
      <c r="P11" s="103"/>
      <c r="Q11" s="114"/>
      <c r="R11" s="103"/>
      <c r="S11" s="114"/>
      <c r="T11" s="103"/>
      <c r="U11" s="114"/>
      <c r="V11" s="103"/>
      <c r="W11" s="114"/>
      <c r="X11" s="103"/>
      <c r="Y11" s="114"/>
      <c r="Z11" s="103"/>
      <c r="AA11" s="114"/>
      <c r="AB11" s="103"/>
      <c r="AC11" s="114"/>
      <c r="AD11" s="103"/>
      <c r="AE11" s="114"/>
      <c r="AF11" s="103"/>
      <c r="AG11" s="114"/>
      <c r="AH11" s="103"/>
      <c r="AI11" s="114"/>
      <c r="AJ11" s="103"/>
      <c r="AK11" s="114"/>
      <c r="AL11" s="103"/>
      <c r="AM11" s="114"/>
      <c r="AN11" s="103"/>
      <c r="AO11" s="114"/>
      <c r="AP11" s="741"/>
      <c r="AQ11" s="129"/>
      <c r="AR11" s="739"/>
      <c r="AS11" s="130"/>
      <c r="AT11" s="103">
        <v>28.97</v>
      </c>
      <c r="AU11" s="114">
        <v>-27</v>
      </c>
      <c r="AV11" s="121">
        <f t="shared" si="0"/>
        <v>25.31</v>
      </c>
      <c r="AW11" s="132">
        <f t="shared" si="0"/>
        <v>-31</v>
      </c>
      <c r="AX11" s="737">
        <v>-72.180000000000007</v>
      </c>
      <c r="AY11" s="130"/>
      <c r="AZ11" s="121">
        <f t="shared" si="1"/>
        <v>-46.870000000000005</v>
      </c>
      <c r="BA11" s="122">
        <f t="shared" si="1"/>
        <v>-31</v>
      </c>
    </row>
    <row r="12" spans="1:53" s="713" customFormat="1" ht="14.25" x14ac:dyDescent="0.3">
      <c r="A12" s="708" t="s">
        <v>309</v>
      </c>
      <c r="B12" s="699">
        <f t="shared" ref="B12:AE12" si="5">B9</f>
        <v>50189.7</v>
      </c>
      <c r="C12" s="714">
        <f t="shared" si="5"/>
        <v>56944</v>
      </c>
      <c r="D12" s="699">
        <f t="shared" si="5"/>
        <v>506.15</v>
      </c>
      <c r="E12" s="714">
        <f t="shared" si="5"/>
        <v>293</v>
      </c>
      <c r="F12" s="699">
        <f t="shared" si="5"/>
        <v>2399</v>
      </c>
      <c r="G12" s="709">
        <f t="shared" si="5"/>
        <v>3126</v>
      </c>
      <c r="H12" s="699">
        <f>H9+H11</f>
        <v>54277.1</v>
      </c>
      <c r="I12" s="709">
        <f>I9+I11</f>
        <v>78938</v>
      </c>
      <c r="J12" s="699">
        <f t="shared" si="5"/>
        <v>14864.22</v>
      </c>
      <c r="K12" s="714">
        <f t="shared" si="5"/>
        <v>16206</v>
      </c>
      <c r="L12" s="699">
        <f t="shared" si="5"/>
        <v>29364.83</v>
      </c>
      <c r="M12" s="709">
        <f t="shared" si="5"/>
        <v>35920</v>
      </c>
      <c r="N12" s="699">
        <f t="shared" si="5"/>
        <v>2910.76</v>
      </c>
      <c r="O12" s="709">
        <f t="shared" si="5"/>
        <v>3222</v>
      </c>
      <c r="P12" s="699">
        <f t="shared" si="5"/>
        <v>9734.84</v>
      </c>
      <c r="Q12" s="709">
        <f t="shared" si="5"/>
        <v>9982</v>
      </c>
      <c r="R12" s="699">
        <f t="shared" si="5"/>
        <v>18979.169999999998</v>
      </c>
      <c r="S12" s="709">
        <f t="shared" si="5"/>
        <v>16438</v>
      </c>
      <c r="T12" s="699">
        <f t="shared" si="5"/>
        <v>4018.3399999999997</v>
      </c>
      <c r="U12" s="709">
        <f t="shared" si="5"/>
        <v>4526</v>
      </c>
      <c r="V12" s="699">
        <f t="shared" si="5"/>
        <v>167621.90999999997</v>
      </c>
      <c r="W12" s="709">
        <f t="shared" si="5"/>
        <v>190441</v>
      </c>
      <c r="X12" s="699">
        <f t="shared" si="5"/>
        <v>143000.42000000001</v>
      </c>
      <c r="Y12" s="709">
        <f t="shared" si="5"/>
        <v>159136</v>
      </c>
      <c r="Z12" s="699">
        <f t="shared" si="5"/>
        <v>6657.58</v>
      </c>
      <c r="AA12" s="709">
        <f t="shared" si="5"/>
        <v>8110</v>
      </c>
      <c r="AB12" s="699">
        <f t="shared" si="5"/>
        <v>17136.0399</v>
      </c>
      <c r="AC12" s="709">
        <f t="shared" si="5"/>
        <v>25370</v>
      </c>
      <c r="AD12" s="699">
        <f t="shared" si="5"/>
        <v>50177.32</v>
      </c>
      <c r="AE12" s="709">
        <f t="shared" si="5"/>
        <v>57787</v>
      </c>
      <c r="AF12" s="703">
        <f>SUM(AF9:AF11)</f>
        <v>119918.82999999999</v>
      </c>
      <c r="AG12" s="711">
        <f>AG9</f>
        <v>136770</v>
      </c>
      <c r="AH12" s="703">
        <f>AH9</f>
        <v>33397</v>
      </c>
      <c r="AI12" s="745">
        <f>AI9</f>
        <v>39884</v>
      </c>
      <c r="AJ12" s="703">
        <f>AJ9</f>
        <v>14363.84</v>
      </c>
      <c r="AK12" s="711">
        <f>AK9</f>
        <v>14582</v>
      </c>
      <c r="AL12" s="703"/>
      <c r="AM12" s="711"/>
      <c r="AN12" s="703">
        <f t="shared" ref="AN12:AS12" si="6">AN9</f>
        <v>174253.41</v>
      </c>
      <c r="AO12" s="708">
        <f t="shared" si="6"/>
        <v>208405</v>
      </c>
      <c r="AP12" s="703">
        <f t="shared" si="6"/>
        <v>11938.460000000001</v>
      </c>
      <c r="AQ12" s="708">
        <f t="shared" si="6"/>
        <v>12412</v>
      </c>
      <c r="AR12" s="703">
        <f t="shared" si="6"/>
        <v>18219.759999999998</v>
      </c>
      <c r="AS12" s="708">
        <f t="shared" si="6"/>
        <v>23780</v>
      </c>
      <c r="AT12" s="703">
        <f>AT9-AT11</f>
        <v>99736.640000000014</v>
      </c>
      <c r="AU12" s="708">
        <f>AU9+AU11</f>
        <v>123977</v>
      </c>
      <c r="AV12" s="703">
        <f t="shared" si="0"/>
        <v>1043665.3199</v>
      </c>
      <c r="AW12" s="710">
        <f t="shared" si="0"/>
        <v>1226249</v>
      </c>
      <c r="AX12" s="715">
        <f>SUM(AX9:AX11)</f>
        <v>2096852.7</v>
      </c>
      <c r="AY12" s="716">
        <f>SUM(AY9:AY11)</f>
        <v>2207187</v>
      </c>
      <c r="AZ12" s="703">
        <f t="shared" si="1"/>
        <v>3140518.0198999997</v>
      </c>
      <c r="BA12" s="704">
        <f t="shared" si="1"/>
        <v>3433436</v>
      </c>
    </row>
    <row r="13" spans="1:53" s="713" customFormat="1" ht="14.25" x14ac:dyDescent="0.3">
      <c r="A13" s="708" t="s">
        <v>310</v>
      </c>
      <c r="B13" s="699">
        <v>4092.65</v>
      </c>
      <c r="C13" s="697">
        <v>2680</v>
      </c>
      <c r="D13" s="699"/>
      <c r="E13" s="697"/>
      <c r="F13" s="699">
        <v>117</v>
      </c>
      <c r="G13" s="698"/>
      <c r="H13" s="699">
        <v>3709.99</v>
      </c>
      <c r="I13" s="698">
        <v>4459</v>
      </c>
      <c r="J13" s="699">
        <v>762.69</v>
      </c>
      <c r="K13" s="697">
        <v>602</v>
      </c>
      <c r="L13" s="699"/>
      <c r="M13" s="698"/>
      <c r="N13" s="699">
        <v>32.18</v>
      </c>
      <c r="O13" s="698">
        <v>89</v>
      </c>
      <c r="P13" s="699">
        <v>867.72</v>
      </c>
      <c r="Q13" s="698">
        <v>745</v>
      </c>
      <c r="R13" s="699">
        <v>2223.2600000000002</v>
      </c>
      <c r="S13" s="698">
        <v>2009</v>
      </c>
      <c r="T13" s="699">
        <v>145.37</v>
      </c>
      <c r="U13" s="698">
        <v>135</v>
      </c>
      <c r="V13" s="699">
        <v>3417.94</v>
      </c>
      <c r="W13" s="698">
        <v>3588</v>
      </c>
      <c r="X13" s="699">
        <v>7021.37</v>
      </c>
      <c r="Y13" s="698">
        <v>8155</v>
      </c>
      <c r="Z13" s="699">
        <v>50.92</v>
      </c>
      <c r="AA13" s="698">
        <v>81</v>
      </c>
      <c r="AB13" s="699">
        <v>0.8</v>
      </c>
      <c r="AC13" s="698"/>
      <c r="AD13" s="699">
        <v>2123.19</v>
      </c>
      <c r="AE13" s="698">
        <v>1241</v>
      </c>
      <c r="AF13" s="703">
        <v>2782.17</v>
      </c>
      <c r="AG13" s="711">
        <v>3512</v>
      </c>
      <c r="AH13" s="703">
        <v>495</v>
      </c>
      <c r="AI13" s="711">
        <v>794</v>
      </c>
      <c r="AJ13" s="703">
        <v>548.84</v>
      </c>
      <c r="AK13" s="711">
        <v>899</v>
      </c>
      <c r="AL13" s="703"/>
      <c r="AM13" s="711"/>
      <c r="AN13" s="703">
        <v>3624.64</v>
      </c>
      <c r="AO13" s="708">
        <v>7424</v>
      </c>
      <c r="AP13" s="703">
        <v>352.2</v>
      </c>
      <c r="AQ13" s="708">
        <v>352</v>
      </c>
      <c r="AR13" s="703"/>
      <c r="AS13" s="708"/>
      <c r="AT13" s="703">
        <v>5986.83</v>
      </c>
      <c r="AU13" s="708">
        <v>8176</v>
      </c>
      <c r="AV13" s="703"/>
      <c r="AW13" s="710"/>
      <c r="AX13" s="715">
        <v>120139</v>
      </c>
      <c r="AY13" s="716">
        <v>109956</v>
      </c>
      <c r="AZ13" s="703"/>
      <c r="BA13" s="704"/>
    </row>
    <row r="14" spans="1:53" s="713" customFormat="1" ht="14.25" x14ac:dyDescent="0.3">
      <c r="A14" s="708" t="s">
        <v>308</v>
      </c>
      <c r="B14" s="699">
        <v>54282.35</v>
      </c>
      <c r="C14" s="697">
        <v>59624</v>
      </c>
      <c r="D14" s="699">
        <f>D12+D13</f>
        <v>506.15</v>
      </c>
      <c r="E14" s="697">
        <f>E12+E13</f>
        <v>293</v>
      </c>
      <c r="F14" s="699">
        <v>2516</v>
      </c>
      <c r="G14" s="698">
        <f>G12+G13</f>
        <v>3126</v>
      </c>
      <c r="H14" s="699">
        <v>57987.09</v>
      </c>
      <c r="I14" s="698">
        <v>83397</v>
      </c>
      <c r="J14" s="699">
        <f>J12+J13</f>
        <v>15626.91</v>
      </c>
      <c r="K14" s="697">
        <v>16808</v>
      </c>
      <c r="L14" s="699"/>
      <c r="M14" s="698"/>
      <c r="N14" s="699">
        <f>N12+N13</f>
        <v>2942.94</v>
      </c>
      <c r="O14" s="698">
        <v>3311</v>
      </c>
      <c r="P14" s="699">
        <v>10602.56</v>
      </c>
      <c r="Q14" s="698">
        <v>10727</v>
      </c>
      <c r="R14" s="699">
        <v>21202.44</v>
      </c>
      <c r="S14" s="698">
        <v>18447</v>
      </c>
      <c r="T14" s="699">
        <f>T12+T13</f>
        <v>4163.71</v>
      </c>
      <c r="U14" s="698">
        <v>4661</v>
      </c>
      <c r="V14" s="699">
        <f>V12+V13</f>
        <v>171039.84999999998</v>
      </c>
      <c r="W14" s="698">
        <v>194029</v>
      </c>
      <c r="X14" s="699">
        <f>X12+X13</f>
        <v>150021.79</v>
      </c>
      <c r="Y14" s="698">
        <f>Y12+Y13</f>
        <v>167291</v>
      </c>
      <c r="Z14" s="699">
        <v>6708.5</v>
      </c>
      <c r="AA14" s="698">
        <f>AA12+AA13</f>
        <v>8191</v>
      </c>
      <c r="AB14" s="699">
        <f>AB12+AB13</f>
        <v>17136.839899999999</v>
      </c>
      <c r="AC14" s="698">
        <f>AC12+AC13</f>
        <v>25370</v>
      </c>
      <c r="AD14" s="699">
        <v>52300.51</v>
      </c>
      <c r="AE14" s="698">
        <f t="shared" ref="AE14:AK14" si="7">AE12+AE13</f>
        <v>59028</v>
      </c>
      <c r="AF14" s="703">
        <f t="shared" si="7"/>
        <v>122700.99999999999</v>
      </c>
      <c r="AG14" s="711">
        <f t="shared" si="7"/>
        <v>140282</v>
      </c>
      <c r="AH14" s="703">
        <f t="shared" si="7"/>
        <v>33892</v>
      </c>
      <c r="AI14" s="711">
        <f t="shared" si="7"/>
        <v>40678</v>
      </c>
      <c r="AJ14" s="703">
        <f t="shared" si="7"/>
        <v>14912.68</v>
      </c>
      <c r="AK14" s="711">
        <f t="shared" si="7"/>
        <v>15481</v>
      </c>
      <c r="AL14" s="703"/>
      <c r="AM14" s="711"/>
      <c r="AN14" s="703">
        <f>AN12+AN13</f>
        <v>177878.05000000002</v>
      </c>
      <c r="AO14" s="708">
        <f>AO12+AO13</f>
        <v>215829</v>
      </c>
      <c r="AP14" s="703">
        <v>12290.66</v>
      </c>
      <c r="AQ14" s="708">
        <f>AQ12+AQ13</f>
        <v>12764</v>
      </c>
      <c r="AR14" s="703">
        <f>AR12</f>
        <v>18219.759999999998</v>
      </c>
      <c r="AS14" s="708">
        <f>AS12</f>
        <v>23780</v>
      </c>
      <c r="AT14" s="703">
        <f>AT12+AT13</f>
        <v>105723.47000000002</v>
      </c>
      <c r="AU14" s="708">
        <f>AU12+AU13</f>
        <v>132153</v>
      </c>
      <c r="AV14" s="703"/>
      <c r="AW14" s="710"/>
      <c r="AX14" s="715">
        <f>AX12+AX13</f>
        <v>2216991.7000000002</v>
      </c>
      <c r="AY14" s="716">
        <f>AY12+AY13</f>
        <v>2317143</v>
      </c>
      <c r="AZ14" s="703"/>
      <c r="BA14" s="704"/>
    </row>
    <row r="15" spans="1:53" s="156" customFormat="1" ht="14.25" x14ac:dyDescent="0.3">
      <c r="A15" s="172" t="s">
        <v>65</v>
      </c>
      <c r="B15" s="752"/>
      <c r="C15" s="113"/>
      <c r="D15" s="103"/>
      <c r="E15" s="105"/>
      <c r="F15" s="103"/>
      <c r="G15" s="114"/>
      <c r="H15" s="103"/>
      <c r="I15" s="114"/>
      <c r="J15" s="103"/>
      <c r="K15" s="105"/>
      <c r="L15" s="103"/>
      <c r="M15" s="114"/>
      <c r="N15" s="103"/>
      <c r="O15" s="114"/>
      <c r="P15" s="103"/>
      <c r="Q15" s="114"/>
      <c r="R15" s="103"/>
      <c r="S15" s="114"/>
      <c r="T15" s="103"/>
      <c r="U15" s="114"/>
      <c r="V15" s="103"/>
      <c r="W15" s="114"/>
      <c r="X15" s="103"/>
      <c r="Y15" s="114"/>
      <c r="Z15" s="103"/>
      <c r="AA15" s="114"/>
      <c r="AB15" s="103"/>
      <c r="AC15" s="114"/>
      <c r="AD15" s="103"/>
      <c r="AE15" s="114"/>
      <c r="AF15" s="103"/>
      <c r="AG15" s="114"/>
      <c r="AH15" s="103"/>
      <c r="AI15" s="114"/>
      <c r="AJ15" s="103"/>
      <c r="AK15" s="114"/>
      <c r="AL15" s="103"/>
      <c r="AM15" s="114"/>
      <c r="AN15" s="103"/>
      <c r="AO15" s="114"/>
      <c r="AP15" s="741"/>
      <c r="AQ15" s="129"/>
      <c r="AR15" s="739"/>
      <c r="AS15" s="130"/>
      <c r="AT15" s="103"/>
      <c r="AU15" s="114"/>
      <c r="AV15" s="121">
        <f t="shared" ref="AV15:AV27" si="8">SUM(B15+D15+F15+H15+J15+L15+N15+P15+R15+T15+V15+X15+Z15+AB15+AD15+AF15+AH15+AJ15+AL15+AN15+AP15+AR15+AT15)</f>
        <v>0</v>
      </c>
      <c r="AW15" s="132">
        <f t="shared" ref="AW15:AW27" si="9">SUM(C15+E15+G15+I15+K15+M15+O15+Q15+S15+U15+W15+Y15+AA15+AC15+AE15+AG15+AI15+AK15+AM15+AO15+AQ15+AS15+AU15)</f>
        <v>0</v>
      </c>
      <c r="AX15" s="737"/>
      <c r="AY15" s="130"/>
      <c r="AZ15" s="121">
        <f t="shared" ref="AZ15:AZ27" si="10">AV15+AX15</f>
        <v>0</v>
      </c>
      <c r="BA15" s="122">
        <f t="shared" ref="BA15:BA27" si="11">AW15+AY15</f>
        <v>0</v>
      </c>
    </row>
    <row r="16" spans="1:53" s="156" customFormat="1" ht="14.25" x14ac:dyDescent="0.3">
      <c r="A16" s="172" t="s">
        <v>66</v>
      </c>
      <c r="B16" s="752"/>
      <c r="C16" s="113"/>
      <c r="D16" s="103"/>
      <c r="E16" s="105"/>
      <c r="F16" s="103"/>
      <c r="G16" s="114"/>
      <c r="H16" s="103"/>
      <c r="I16" s="114"/>
      <c r="J16" s="103"/>
      <c r="K16" s="105"/>
      <c r="L16" s="103"/>
      <c r="M16" s="114"/>
      <c r="N16" s="103"/>
      <c r="O16" s="114"/>
      <c r="P16" s="103"/>
      <c r="Q16" s="114"/>
      <c r="R16" s="103"/>
      <c r="S16" s="114"/>
      <c r="T16" s="103"/>
      <c r="U16" s="114"/>
      <c r="V16" s="103"/>
      <c r="W16" s="114"/>
      <c r="X16" s="103"/>
      <c r="Y16" s="114"/>
      <c r="Z16" s="103"/>
      <c r="AA16" s="114"/>
      <c r="AB16" s="103"/>
      <c r="AC16" s="114"/>
      <c r="AD16" s="103"/>
      <c r="AE16" s="114"/>
      <c r="AF16" s="103"/>
      <c r="AG16" s="114"/>
      <c r="AH16" s="103"/>
      <c r="AI16" s="114"/>
      <c r="AJ16" s="103"/>
      <c r="AK16" s="114"/>
      <c r="AL16" s="103"/>
      <c r="AM16" s="114"/>
      <c r="AN16" s="103"/>
      <c r="AO16" s="114"/>
      <c r="AP16" s="741"/>
      <c r="AQ16" s="129"/>
      <c r="AR16" s="739"/>
      <c r="AS16" s="130"/>
      <c r="AT16" s="103"/>
      <c r="AU16" s="114"/>
      <c r="AV16" s="121">
        <f t="shared" si="8"/>
        <v>0</v>
      </c>
      <c r="AW16" s="132">
        <f t="shared" si="9"/>
        <v>0</v>
      </c>
      <c r="AX16" s="737"/>
      <c r="AY16" s="130"/>
      <c r="AZ16" s="121">
        <f t="shared" si="10"/>
        <v>0</v>
      </c>
      <c r="BA16" s="122">
        <f t="shared" si="11"/>
        <v>0</v>
      </c>
    </row>
    <row r="17" spans="1:53" s="156" customFormat="1" ht="14.25" x14ac:dyDescent="0.3">
      <c r="A17" s="171" t="s">
        <v>67</v>
      </c>
      <c r="B17" s="753">
        <v>25664</v>
      </c>
      <c r="C17" s="755">
        <v>24253</v>
      </c>
      <c r="D17" s="121">
        <v>21.33</v>
      </c>
      <c r="E17" s="125">
        <v>9</v>
      </c>
      <c r="F17" s="121">
        <v>928</v>
      </c>
      <c r="G17" s="126">
        <v>1015</v>
      </c>
      <c r="H17" s="121">
        <v>26441.5</v>
      </c>
      <c r="I17" s="126">
        <v>34311</v>
      </c>
      <c r="J17" s="121">
        <v>6744.4</v>
      </c>
      <c r="K17" s="125">
        <v>5261</v>
      </c>
      <c r="L17" s="121">
        <v>84</v>
      </c>
      <c r="M17" s="126">
        <v>124</v>
      </c>
      <c r="N17" s="121">
        <v>1939</v>
      </c>
      <c r="O17" s="126">
        <v>1904</v>
      </c>
      <c r="P17" s="121">
        <v>6888.62</v>
      </c>
      <c r="Q17" s="126">
        <v>6721</v>
      </c>
      <c r="R17" s="121">
        <v>13180.27</v>
      </c>
      <c r="S17" s="126">
        <v>11320</v>
      </c>
      <c r="T17" s="121">
        <f>995.4+119.05</f>
        <v>1114.45</v>
      </c>
      <c r="U17" s="126">
        <v>1496</v>
      </c>
      <c r="V17" s="121">
        <v>32219.43</v>
      </c>
      <c r="W17" s="126">
        <v>37562</v>
      </c>
      <c r="X17" s="121">
        <v>42494.46</v>
      </c>
      <c r="Y17" s="126">
        <v>35957</v>
      </c>
      <c r="Z17" s="747">
        <v>492.61</v>
      </c>
      <c r="AA17" s="467">
        <v>389</v>
      </c>
      <c r="AB17" s="121">
        <v>708.09</v>
      </c>
      <c r="AC17" s="126">
        <v>1419</v>
      </c>
      <c r="AD17" s="746">
        <v>20326</v>
      </c>
      <c r="AE17" s="468">
        <v>20128</v>
      </c>
      <c r="AF17" s="121">
        <v>24062</v>
      </c>
      <c r="AG17" s="126">
        <v>28516</v>
      </c>
      <c r="AH17" s="121">
        <v>2908</v>
      </c>
      <c r="AI17" s="126">
        <v>3818</v>
      </c>
      <c r="AJ17" s="121">
        <v>11154.13</v>
      </c>
      <c r="AK17" s="126">
        <v>12102</v>
      </c>
      <c r="AL17" s="103"/>
      <c r="AM17" s="114"/>
      <c r="AN17" s="743">
        <v>59134.55</v>
      </c>
      <c r="AO17" s="171">
        <v>74585</v>
      </c>
      <c r="AP17" s="741">
        <v>1629.6</v>
      </c>
      <c r="AQ17" s="129">
        <v>1667</v>
      </c>
      <c r="AR17" s="739">
        <v>38.71</v>
      </c>
      <c r="AS17" s="130">
        <v>31</v>
      </c>
      <c r="AT17" s="121">
        <v>37720</v>
      </c>
      <c r="AU17" s="126">
        <v>47414</v>
      </c>
      <c r="AV17" s="121">
        <f t="shared" si="8"/>
        <v>315893.14999999997</v>
      </c>
      <c r="AW17" s="132">
        <f t="shared" si="9"/>
        <v>350002</v>
      </c>
      <c r="AX17" s="131">
        <v>2196961.2000000002</v>
      </c>
      <c r="AY17" s="126">
        <v>2296025</v>
      </c>
      <c r="AZ17" s="121">
        <f t="shared" si="10"/>
        <v>2512854.35</v>
      </c>
      <c r="BA17" s="122">
        <f t="shared" si="11"/>
        <v>2646027</v>
      </c>
    </row>
    <row r="18" spans="1:53" s="156" customFormat="1" ht="14.25" x14ac:dyDescent="0.3">
      <c r="A18" s="171" t="s">
        <v>6</v>
      </c>
      <c r="B18" s="752">
        <v>1778</v>
      </c>
      <c r="C18" s="113">
        <v>2048</v>
      </c>
      <c r="D18" s="103">
        <v>236.75</v>
      </c>
      <c r="E18" s="105">
        <v>99</v>
      </c>
      <c r="F18" s="103">
        <v>186</v>
      </c>
      <c r="G18" s="114">
        <v>314</v>
      </c>
      <c r="H18" s="103">
        <v>1746.06</v>
      </c>
      <c r="I18" s="114">
        <v>3244</v>
      </c>
      <c r="J18" s="103">
        <v>5213.53</v>
      </c>
      <c r="K18" s="105">
        <v>6296</v>
      </c>
      <c r="L18" s="103">
        <v>143</v>
      </c>
      <c r="M18" s="114">
        <v>563</v>
      </c>
      <c r="N18" s="103">
        <v>62.42</v>
      </c>
      <c r="O18" s="114">
        <v>182</v>
      </c>
      <c r="P18" s="103">
        <v>1077.8800000000001</v>
      </c>
      <c r="Q18" s="114">
        <v>585</v>
      </c>
      <c r="R18" s="103">
        <v>6144.67</v>
      </c>
      <c r="S18" s="114">
        <v>6477</v>
      </c>
      <c r="T18" s="103">
        <f>417.08+26.32</f>
        <v>443.4</v>
      </c>
      <c r="U18" s="114">
        <v>535</v>
      </c>
      <c r="V18" s="103">
        <v>13805</v>
      </c>
      <c r="W18" s="114">
        <v>17005</v>
      </c>
      <c r="X18" s="103">
        <v>9844.49</v>
      </c>
      <c r="Y18" s="114">
        <v>9112</v>
      </c>
      <c r="Z18" s="747">
        <v>47.63</v>
      </c>
      <c r="AA18" s="467">
        <v>87</v>
      </c>
      <c r="AB18" s="103">
        <v>303.29000000000002</v>
      </c>
      <c r="AC18" s="114">
        <v>912</v>
      </c>
      <c r="AD18" s="103">
        <v>2593</v>
      </c>
      <c r="AE18" s="114">
        <v>2907</v>
      </c>
      <c r="AF18" s="103">
        <v>574.07000000000005</v>
      </c>
      <c r="AG18" s="114">
        <v>2808</v>
      </c>
      <c r="AH18" s="103">
        <v>2145</v>
      </c>
      <c r="AI18" s="114">
        <v>2248</v>
      </c>
      <c r="AJ18" s="103">
        <v>1724.22</v>
      </c>
      <c r="AK18" s="114">
        <v>1467</v>
      </c>
      <c r="AL18" s="103"/>
      <c r="AM18" s="114"/>
      <c r="AN18" s="743">
        <v>554.02</v>
      </c>
      <c r="AO18" s="171">
        <v>710</v>
      </c>
      <c r="AP18" s="741">
        <v>1799.91</v>
      </c>
      <c r="AQ18" s="129">
        <v>1967</v>
      </c>
      <c r="AR18" s="739">
        <v>14.9</v>
      </c>
      <c r="AS18" s="130">
        <v>26</v>
      </c>
      <c r="AT18" s="103">
        <v>7772</v>
      </c>
      <c r="AU18" s="114">
        <v>15978</v>
      </c>
      <c r="AV18" s="121">
        <f t="shared" si="8"/>
        <v>58209.24</v>
      </c>
      <c r="AW18" s="132">
        <f t="shared" si="9"/>
        <v>75570</v>
      </c>
      <c r="AX18" s="128">
        <v>270.75</v>
      </c>
      <c r="AY18" s="114">
        <v>316</v>
      </c>
      <c r="AZ18" s="121">
        <f t="shared" si="10"/>
        <v>58479.99</v>
      </c>
      <c r="BA18" s="122">
        <f t="shared" si="11"/>
        <v>75886</v>
      </c>
    </row>
    <row r="19" spans="1:53" s="156" customFormat="1" ht="14.25" x14ac:dyDescent="0.3">
      <c r="A19" s="171" t="s">
        <v>68</v>
      </c>
      <c r="B19" s="752">
        <v>26724</v>
      </c>
      <c r="C19" s="113">
        <v>33241</v>
      </c>
      <c r="D19" s="103">
        <v>139.44</v>
      </c>
      <c r="E19" s="105">
        <v>59</v>
      </c>
      <c r="F19" s="103">
        <v>1288</v>
      </c>
      <c r="G19" s="114">
        <v>1713</v>
      </c>
      <c r="H19" s="103">
        <v>25389.41</v>
      </c>
      <c r="I19" s="114">
        <v>44263</v>
      </c>
      <c r="J19" s="103">
        <v>3667.98</v>
      </c>
      <c r="K19" s="105">
        <v>5247</v>
      </c>
      <c r="L19" s="103">
        <v>28494</v>
      </c>
      <c r="M19" s="114">
        <v>34816</v>
      </c>
      <c r="N19" s="103">
        <v>915</v>
      </c>
      <c r="O19" s="114">
        <v>1170</v>
      </c>
      <c r="P19" s="103">
        <v>2629.8</v>
      </c>
      <c r="Q19" s="114">
        <v>3420</v>
      </c>
      <c r="R19" s="103">
        <v>488.73</v>
      </c>
      <c r="S19" s="114">
        <v>451</v>
      </c>
      <c r="T19" s="103">
        <v>2455.64</v>
      </c>
      <c r="U19" s="114">
        <v>2345</v>
      </c>
      <c r="V19" s="103">
        <v>11734</v>
      </c>
      <c r="W19" s="114">
        <v>16109</v>
      </c>
      <c r="X19" s="103">
        <v>88518.59</v>
      </c>
      <c r="Y19" s="114">
        <v>65214</v>
      </c>
      <c r="Z19" s="747">
        <v>6117.34</v>
      </c>
      <c r="AA19" s="467">
        <v>7715</v>
      </c>
      <c r="AB19" s="103">
        <v>15998.42</v>
      </c>
      <c r="AC19" s="114">
        <v>22866</v>
      </c>
      <c r="AD19" s="103">
        <v>28268</v>
      </c>
      <c r="AE19" s="114">
        <v>34324</v>
      </c>
      <c r="AF19" s="103">
        <v>1181</v>
      </c>
      <c r="AG19" s="114">
        <v>1254</v>
      </c>
      <c r="AH19" s="103">
        <v>27667</v>
      </c>
      <c r="AI19" s="114">
        <v>32595</v>
      </c>
      <c r="AJ19" s="103">
        <v>2030.92</v>
      </c>
      <c r="AK19" s="114">
        <v>1910</v>
      </c>
      <c r="AL19" s="103"/>
      <c r="AM19" s="114"/>
      <c r="AN19" s="743">
        <v>5259.49</v>
      </c>
      <c r="AO19" s="171">
        <v>7777</v>
      </c>
      <c r="AP19" s="741">
        <v>8703</v>
      </c>
      <c r="AQ19" s="129">
        <v>9060</v>
      </c>
      <c r="AR19" s="739"/>
      <c r="AS19" s="130"/>
      <c r="AT19" s="103">
        <v>1470</v>
      </c>
      <c r="AU19" s="114">
        <v>1716</v>
      </c>
      <c r="AV19" s="121">
        <f t="shared" si="8"/>
        <v>289139.75999999995</v>
      </c>
      <c r="AW19" s="132">
        <f t="shared" si="9"/>
        <v>327265</v>
      </c>
      <c r="AX19" s="128">
        <v>1687.3</v>
      </c>
      <c r="AY19" s="114">
        <v>1738</v>
      </c>
      <c r="AZ19" s="121">
        <f t="shared" si="10"/>
        <v>290827.05999999994</v>
      </c>
      <c r="BA19" s="122">
        <f t="shared" si="11"/>
        <v>329003</v>
      </c>
    </row>
    <row r="20" spans="1:53" s="156" customFormat="1" ht="14.25" x14ac:dyDescent="0.3">
      <c r="A20" s="171" t="s">
        <v>69</v>
      </c>
      <c r="B20" s="752"/>
      <c r="C20" s="113"/>
      <c r="D20" s="103"/>
      <c r="E20" s="105"/>
      <c r="F20" s="103"/>
      <c r="G20" s="114"/>
      <c r="H20" s="103"/>
      <c r="I20" s="114"/>
      <c r="J20" s="103"/>
      <c r="K20" s="105"/>
      <c r="L20" s="103"/>
      <c r="M20" s="114"/>
      <c r="N20" s="103"/>
      <c r="O20" s="114"/>
      <c r="P20" s="103"/>
      <c r="Q20" s="114"/>
      <c r="R20" s="103">
        <v>951.04</v>
      </c>
      <c r="S20" s="114">
        <v>35</v>
      </c>
      <c r="T20" s="103"/>
      <c r="U20" s="114"/>
      <c r="V20" s="103">
        <v>111488</v>
      </c>
      <c r="W20" s="114">
        <v>120704</v>
      </c>
      <c r="X20" s="103"/>
      <c r="Y20" s="114"/>
      <c r="Z20" s="747"/>
      <c r="AA20" s="467"/>
      <c r="AB20" s="103"/>
      <c r="AC20" s="114"/>
      <c r="AD20" s="103"/>
      <c r="AE20" s="114"/>
      <c r="AF20" s="103">
        <v>92889.94</v>
      </c>
      <c r="AG20" s="114">
        <v>103803</v>
      </c>
      <c r="AH20" s="103"/>
      <c r="AI20" s="114"/>
      <c r="AJ20" s="103"/>
      <c r="AK20" s="114"/>
      <c r="AL20" s="103"/>
      <c r="AM20" s="114"/>
      <c r="AN20" s="743">
        <v>109260.91</v>
      </c>
      <c r="AO20" s="171">
        <v>132681</v>
      </c>
      <c r="AP20" s="741">
        <v>145</v>
      </c>
      <c r="AQ20" s="129">
        <v>69</v>
      </c>
      <c r="AR20" s="739">
        <v>18166.150000000001</v>
      </c>
      <c r="AS20" s="130">
        <v>23723</v>
      </c>
      <c r="AT20" s="103">
        <v>55130.42</v>
      </c>
      <c r="AU20" s="114">
        <v>64659</v>
      </c>
      <c r="AV20" s="121">
        <f t="shared" si="8"/>
        <v>388031.46</v>
      </c>
      <c r="AW20" s="132">
        <f t="shared" si="9"/>
        <v>445674</v>
      </c>
      <c r="AX20" s="128">
        <v>17392.169999999998</v>
      </c>
      <c r="AY20" s="114">
        <v>17115</v>
      </c>
      <c r="AZ20" s="121">
        <f t="shared" si="10"/>
        <v>405423.63</v>
      </c>
      <c r="BA20" s="122">
        <f t="shared" si="11"/>
        <v>462789</v>
      </c>
    </row>
    <row r="21" spans="1:53" s="156" customFormat="1" ht="14.25" x14ac:dyDescent="0.3">
      <c r="A21" s="171" t="s">
        <v>70</v>
      </c>
      <c r="B21" s="752"/>
      <c r="C21" s="113"/>
      <c r="D21" s="103"/>
      <c r="E21" s="105"/>
      <c r="F21" s="103"/>
      <c r="G21" s="114"/>
      <c r="H21" s="103">
        <v>703.79</v>
      </c>
      <c r="I21" s="114">
        <v>983</v>
      </c>
      <c r="J21" s="103"/>
      <c r="K21" s="105"/>
      <c r="L21" s="103"/>
      <c r="M21" s="114"/>
      <c r="N21" s="103">
        <v>27.8</v>
      </c>
      <c r="O21" s="114">
        <v>55</v>
      </c>
      <c r="P21" s="103"/>
      <c r="Q21" s="114"/>
      <c r="R21" s="103"/>
      <c r="S21" s="114"/>
      <c r="T21" s="103"/>
      <c r="U21" s="114"/>
      <c r="V21" s="103">
        <v>177.5</v>
      </c>
      <c r="W21" s="114">
        <v>378</v>
      </c>
      <c r="X21" s="749">
        <v>45.07</v>
      </c>
      <c r="Y21" s="115">
        <v>94</v>
      </c>
      <c r="Z21" s="747"/>
      <c r="AA21" s="467"/>
      <c r="AB21" s="103"/>
      <c r="AC21" s="114"/>
      <c r="AD21" s="103">
        <v>1083</v>
      </c>
      <c r="AE21" s="114">
        <v>1507</v>
      </c>
      <c r="AF21" s="103"/>
      <c r="AG21" s="114"/>
      <c r="AH21" s="103"/>
      <c r="AI21" s="114"/>
      <c r="AJ21" s="103"/>
      <c r="AK21" s="114"/>
      <c r="AL21" s="103"/>
      <c r="AM21" s="114"/>
      <c r="AN21" s="103"/>
      <c r="AO21" s="114"/>
      <c r="AP21" s="741"/>
      <c r="AQ21" s="129"/>
      <c r="AR21" s="739"/>
      <c r="AS21" s="130"/>
      <c r="AT21" s="103">
        <v>30</v>
      </c>
      <c r="AU21" s="114">
        <v>30</v>
      </c>
      <c r="AV21" s="121">
        <f t="shared" si="8"/>
        <v>2067.16</v>
      </c>
      <c r="AW21" s="132">
        <f t="shared" si="9"/>
        <v>3047</v>
      </c>
      <c r="AX21" s="128"/>
      <c r="AY21" s="114"/>
      <c r="AZ21" s="121">
        <f t="shared" si="10"/>
        <v>2067.16</v>
      </c>
      <c r="BA21" s="122">
        <f t="shared" si="11"/>
        <v>3047</v>
      </c>
    </row>
    <row r="22" spans="1:53" s="156" customFormat="1" ht="14.25" x14ac:dyDescent="0.3">
      <c r="A22" s="171" t="s">
        <v>15</v>
      </c>
      <c r="B22" s="753"/>
      <c r="C22" s="755"/>
      <c r="D22" s="121"/>
      <c r="E22" s="125"/>
      <c r="F22" s="121"/>
      <c r="G22" s="126"/>
      <c r="H22" s="121"/>
      <c r="I22" s="126"/>
      <c r="J22" s="121"/>
      <c r="K22" s="125"/>
      <c r="L22" s="121"/>
      <c r="M22" s="126"/>
      <c r="N22" s="121"/>
      <c r="O22" s="126"/>
      <c r="P22" s="121"/>
      <c r="Q22" s="126"/>
      <c r="R22" s="121"/>
      <c r="S22" s="126"/>
      <c r="T22" s="121"/>
      <c r="U22" s="126"/>
      <c r="V22" s="121"/>
      <c r="W22" s="126"/>
      <c r="X22" s="121"/>
      <c r="Y22" s="126"/>
      <c r="Z22" s="747"/>
      <c r="AA22" s="467"/>
      <c r="AB22" s="121">
        <v>126.83</v>
      </c>
      <c r="AC22" s="126">
        <v>172</v>
      </c>
      <c r="AD22" s="746"/>
      <c r="AE22" s="468"/>
      <c r="AF22" s="121"/>
      <c r="AG22" s="126"/>
      <c r="AH22" s="121"/>
      <c r="AI22" s="126"/>
      <c r="AJ22" s="121"/>
      <c r="AK22" s="126"/>
      <c r="AL22" s="103"/>
      <c r="AM22" s="114"/>
      <c r="AN22" s="743"/>
      <c r="AO22" s="171"/>
      <c r="AP22" s="741"/>
      <c r="AQ22" s="129"/>
      <c r="AR22" s="739"/>
      <c r="AS22" s="130"/>
      <c r="AT22" s="121"/>
      <c r="AU22" s="126"/>
      <c r="AV22" s="121">
        <f t="shared" si="8"/>
        <v>126.83</v>
      </c>
      <c r="AW22" s="132">
        <f t="shared" si="9"/>
        <v>172</v>
      </c>
      <c r="AX22" s="131"/>
      <c r="AY22" s="126">
        <v>4</v>
      </c>
      <c r="AZ22" s="121">
        <f t="shared" si="10"/>
        <v>126.83</v>
      </c>
      <c r="BA22" s="122">
        <f t="shared" si="11"/>
        <v>176</v>
      </c>
    </row>
    <row r="23" spans="1:53" s="156" customFormat="1" ht="14.25" x14ac:dyDescent="0.3">
      <c r="A23" s="171" t="s">
        <v>17</v>
      </c>
      <c r="B23" s="752"/>
      <c r="C23" s="113"/>
      <c r="D23" s="103"/>
      <c r="E23" s="105"/>
      <c r="F23" s="103">
        <v>112</v>
      </c>
      <c r="G23" s="114">
        <v>200</v>
      </c>
      <c r="H23" s="103"/>
      <c r="I23" s="114"/>
      <c r="J23" s="103"/>
      <c r="K23" s="105"/>
      <c r="L23" s="103"/>
      <c r="M23" s="114"/>
      <c r="N23" s="103"/>
      <c r="O23" s="114"/>
      <c r="P23" s="103"/>
      <c r="Q23" s="114"/>
      <c r="R23" s="103">
        <v>0.03</v>
      </c>
      <c r="S23" s="114"/>
      <c r="T23" s="103">
        <v>149.55000000000001</v>
      </c>
      <c r="U23" s="114">
        <v>286</v>
      </c>
      <c r="V23" s="103">
        <v>85.33</v>
      </c>
      <c r="W23" s="114">
        <v>142</v>
      </c>
      <c r="X23" s="103">
        <v>304.49</v>
      </c>
      <c r="Y23" s="114">
        <v>372</v>
      </c>
      <c r="Z23" s="747"/>
      <c r="AA23" s="467"/>
      <c r="AB23" s="103"/>
      <c r="AC23" s="114"/>
      <c r="AD23" s="103">
        <v>1</v>
      </c>
      <c r="AE23" s="114"/>
      <c r="AF23" s="103">
        <v>829</v>
      </c>
      <c r="AG23" s="114">
        <v>1055</v>
      </c>
      <c r="AH23" s="103">
        <v>726</v>
      </c>
      <c r="AI23" s="114">
        <v>1387</v>
      </c>
      <c r="AJ23" s="103"/>
      <c r="AK23" s="114"/>
      <c r="AL23" s="103"/>
      <c r="AM23" s="114"/>
      <c r="AN23" s="743">
        <v>7.32</v>
      </c>
      <c r="AO23" s="171">
        <v>4</v>
      </c>
      <c r="AP23" s="741"/>
      <c r="AQ23" s="129"/>
      <c r="AR23" s="739"/>
      <c r="AS23" s="130"/>
      <c r="AT23" s="103"/>
      <c r="AU23" s="114"/>
      <c r="AV23" s="121">
        <f t="shared" si="8"/>
        <v>2214.7200000000003</v>
      </c>
      <c r="AW23" s="132">
        <f t="shared" si="9"/>
        <v>3446</v>
      </c>
      <c r="AX23" s="737">
        <v>752.46</v>
      </c>
      <c r="AY23" s="130">
        <v>1944</v>
      </c>
      <c r="AZ23" s="121">
        <f t="shared" si="10"/>
        <v>2967.1800000000003</v>
      </c>
      <c r="BA23" s="122">
        <f t="shared" si="11"/>
        <v>5390</v>
      </c>
    </row>
    <row r="24" spans="1:53" s="156" customFormat="1" ht="14.25" x14ac:dyDescent="0.3">
      <c r="A24" s="171" t="s">
        <v>71</v>
      </c>
      <c r="B24" s="752">
        <v>16</v>
      </c>
      <c r="C24" s="113">
        <v>31</v>
      </c>
      <c r="D24" s="103">
        <v>108.63</v>
      </c>
      <c r="E24" s="105">
        <v>126</v>
      </c>
      <c r="F24" s="103"/>
      <c r="G24" s="114"/>
      <c r="H24" s="103"/>
      <c r="I24" s="114"/>
      <c r="J24" s="103">
        <v>1</v>
      </c>
      <c r="K24" s="105">
        <v>3</v>
      </c>
      <c r="L24" s="103">
        <v>172</v>
      </c>
      <c r="M24" s="114">
        <v>86</v>
      </c>
      <c r="N24" s="103"/>
      <c r="O24" s="114"/>
      <c r="P24" s="103">
        <v>6.26</v>
      </c>
      <c r="Q24" s="114">
        <v>1</v>
      </c>
      <c r="R24" s="103"/>
      <c r="S24" s="114"/>
      <c r="T24" s="103">
        <v>0.67</v>
      </c>
      <c r="U24" s="114"/>
      <c r="V24" s="103">
        <v>577.37</v>
      </c>
      <c r="W24" s="114">
        <v>1165</v>
      </c>
      <c r="X24" s="103">
        <v>1793.32</v>
      </c>
      <c r="Y24" s="114">
        <v>898</v>
      </c>
      <c r="Z24" s="747"/>
      <c r="AA24" s="467"/>
      <c r="AB24" s="103">
        <v>0.19</v>
      </c>
      <c r="AC24" s="114">
        <v>0.17</v>
      </c>
      <c r="AD24" s="103">
        <v>3</v>
      </c>
      <c r="AE24" s="114">
        <v>2</v>
      </c>
      <c r="AF24" s="103">
        <v>3165</v>
      </c>
      <c r="AG24" s="114">
        <v>2844</v>
      </c>
      <c r="AH24" s="103">
        <v>445</v>
      </c>
      <c r="AI24" s="114">
        <v>629</v>
      </c>
      <c r="AJ24" s="103">
        <v>3</v>
      </c>
      <c r="AK24" s="114">
        <v>1</v>
      </c>
      <c r="AL24" s="103"/>
      <c r="AM24" s="114"/>
      <c r="AN24" s="743">
        <v>37.119999999999997</v>
      </c>
      <c r="AO24" s="171">
        <v>28</v>
      </c>
      <c r="AP24" s="741">
        <v>12</v>
      </c>
      <c r="AQ24" s="129"/>
      <c r="AR24" s="739"/>
      <c r="AS24" s="130"/>
      <c r="AT24" s="103">
        <v>3629</v>
      </c>
      <c r="AU24" s="114">
        <v>2385</v>
      </c>
      <c r="AV24" s="121">
        <f t="shared" si="8"/>
        <v>9969.5600000000013</v>
      </c>
      <c r="AW24" s="132">
        <f t="shared" si="9"/>
        <v>8199.17</v>
      </c>
      <c r="AX24" s="737"/>
      <c r="AY24" s="130"/>
      <c r="AZ24" s="121">
        <f t="shared" si="10"/>
        <v>9969.5600000000013</v>
      </c>
      <c r="BA24" s="122">
        <f t="shared" si="11"/>
        <v>8199.17</v>
      </c>
    </row>
    <row r="25" spans="1:53" s="156" customFormat="1" ht="14.25" x14ac:dyDescent="0.3">
      <c r="A25" s="171" t="s">
        <v>72</v>
      </c>
      <c r="B25" s="754"/>
      <c r="C25" s="756"/>
      <c r="D25" s="142"/>
      <c r="E25" s="138"/>
      <c r="F25" s="142">
        <v>2</v>
      </c>
      <c r="G25" s="143">
        <v>3</v>
      </c>
      <c r="H25" s="142"/>
      <c r="I25" s="143"/>
      <c r="J25" s="142"/>
      <c r="K25" s="138"/>
      <c r="L25" s="142"/>
      <c r="M25" s="143"/>
      <c r="N25" s="142"/>
      <c r="O25" s="143"/>
      <c r="P25" s="142"/>
      <c r="Q25" s="143"/>
      <c r="R25" s="142">
        <v>47.74</v>
      </c>
      <c r="S25" s="143">
        <v>37</v>
      </c>
      <c r="T25" s="142"/>
      <c r="U25" s="143"/>
      <c r="V25" s="142"/>
      <c r="W25" s="143"/>
      <c r="X25" s="142"/>
      <c r="Y25" s="143"/>
      <c r="Z25" s="748"/>
      <c r="AA25" s="469"/>
      <c r="AB25" s="142"/>
      <c r="AC25" s="143"/>
      <c r="AD25" s="142">
        <v>4.7</v>
      </c>
      <c r="AE25" s="143"/>
      <c r="AF25" s="142"/>
      <c r="AG25" s="143"/>
      <c r="AH25" s="142"/>
      <c r="AI25" s="143"/>
      <c r="AJ25" s="142"/>
      <c r="AK25" s="143"/>
      <c r="AL25" s="142"/>
      <c r="AM25" s="143"/>
      <c r="AN25" s="744"/>
      <c r="AO25" s="470"/>
      <c r="AP25" s="742"/>
      <c r="AQ25" s="144"/>
      <c r="AR25" s="740"/>
      <c r="AS25" s="145"/>
      <c r="AT25" s="142"/>
      <c r="AU25" s="143"/>
      <c r="AV25" s="121">
        <f t="shared" si="8"/>
        <v>54.440000000000005</v>
      </c>
      <c r="AW25" s="132">
        <f t="shared" si="9"/>
        <v>40</v>
      </c>
      <c r="AX25" s="738"/>
      <c r="AY25" s="145"/>
      <c r="AZ25" s="121">
        <f t="shared" si="10"/>
        <v>54.440000000000005</v>
      </c>
      <c r="BA25" s="122">
        <f t="shared" si="11"/>
        <v>40</v>
      </c>
    </row>
    <row r="26" spans="1:53" s="156" customFormat="1" ht="15" thickBot="1" x14ac:dyDescent="0.35">
      <c r="A26" s="470" t="s">
        <v>73</v>
      </c>
      <c r="B26" s="754">
        <v>101</v>
      </c>
      <c r="C26" s="757">
        <v>51</v>
      </c>
      <c r="D26" s="142"/>
      <c r="E26" s="471"/>
      <c r="F26" s="142"/>
      <c r="G26" s="472"/>
      <c r="H26" s="142"/>
      <c r="I26" s="472">
        <v>600</v>
      </c>
      <c r="J26" s="142"/>
      <c r="K26" s="138"/>
      <c r="L26" s="142">
        <v>471</v>
      </c>
      <c r="M26" s="143">
        <v>331</v>
      </c>
      <c r="N26" s="142"/>
      <c r="O26" s="143"/>
      <c r="P26" s="142"/>
      <c r="Q26" s="143"/>
      <c r="R26" s="142">
        <v>389.96</v>
      </c>
      <c r="S26" s="143">
        <v>127</v>
      </c>
      <c r="T26" s="142"/>
      <c r="U26" s="143"/>
      <c r="V26" s="142">
        <v>954</v>
      </c>
      <c r="W26" s="143">
        <v>965</v>
      </c>
      <c r="X26" s="142"/>
      <c r="Y26" s="143"/>
      <c r="Z26" s="748"/>
      <c r="AA26" s="469"/>
      <c r="AB26" s="142"/>
      <c r="AC26" s="143"/>
      <c r="AD26" s="142">
        <v>21</v>
      </c>
      <c r="AE26" s="143">
        <v>160</v>
      </c>
      <c r="AF26" s="142"/>
      <c r="AG26" s="143"/>
      <c r="AH26" s="142">
        <v>1</v>
      </c>
      <c r="AI26" s="143">
        <v>1</v>
      </c>
      <c r="AJ26" s="142"/>
      <c r="AK26" s="143"/>
      <c r="AL26" s="142"/>
      <c r="AM26" s="143"/>
      <c r="AN26" s="744"/>
      <c r="AO26" s="470">
        <v>44</v>
      </c>
      <c r="AP26" s="742"/>
      <c r="AQ26" s="144"/>
      <c r="AR26" s="740"/>
      <c r="AS26" s="145"/>
      <c r="AT26" s="142"/>
      <c r="AU26" s="143"/>
      <c r="AV26" s="146">
        <f t="shared" si="8"/>
        <v>1937.96</v>
      </c>
      <c r="AW26" s="148">
        <f t="shared" si="9"/>
        <v>2279</v>
      </c>
      <c r="AX26" s="738"/>
      <c r="AY26" s="145"/>
      <c r="AZ26" s="146">
        <f t="shared" si="10"/>
        <v>1937.96</v>
      </c>
      <c r="BA26" s="474">
        <f t="shared" si="11"/>
        <v>2279</v>
      </c>
    </row>
    <row r="27" spans="1:53" s="473" customFormat="1" ht="15" thickBot="1" x14ac:dyDescent="0.35">
      <c r="A27" s="483" t="s">
        <v>54</v>
      </c>
      <c r="B27" s="475">
        <f t="shared" ref="B27:AU27" si="12">SUM(B17:B26)</f>
        <v>54283</v>
      </c>
      <c r="C27" s="476">
        <f t="shared" si="12"/>
        <v>59624</v>
      </c>
      <c r="D27" s="475">
        <f t="shared" si="12"/>
        <v>506.15</v>
      </c>
      <c r="E27" s="475">
        <f t="shared" si="12"/>
        <v>293</v>
      </c>
      <c r="F27" s="475">
        <f t="shared" si="12"/>
        <v>2516</v>
      </c>
      <c r="G27" s="475">
        <f t="shared" si="12"/>
        <v>3245</v>
      </c>
      <c r="H27" s="475">
        <f t="shared" si="12"/>
        <v>54280.76</v>
      </c>
      <c r="I27" s="475">
        <f>SUM(I17:I26)</f>
        <v>83401</v>
      </c>
      <c r="J27" s="475">
        <f t="shared" si="12"/>
        <v>15626.91</v>
      </c>
      <c r="K27" s="475">
        <f t="shared" si="12"/>
        <v>16807</v>
      </c>
      <c r="L27" s="475">
        <f t="shared" si="12"/>
        <v>29364</v>
      </c>
      <c r="M27" s="475">
        <f t="shared" si="12"/>
        <v>35920</v>
      </c>
      <c r="N27" s="475">
        <f t="shared" si="12"/>
        <v>2944.2200000000003</v>
      </c>
      <c r="O27" s="475">
        <f t="shared" si="12"/>
        <v>3311</v>
      </c>
      <c r="P27" s="475">
        <f t="shared" si="12"/>
        <v>10602.56</v>
      </c>
      <c r="Q27" s="475">
        <f t="shared" si="12"/>
        <v>10727</v>
      </c>
      <c r="R27" s="475">
        <f t="shared" si="12"/>
        <v>21202.440000000002</v>
      </c>
      <c r="S27" s="475">
        <f t="shared" si="12"/>
        <v>18447</v>
      </c>
      <c r="T27" s="475">
        <f t="shared" si="12"/>
        <v>4163.71</v>
      </c>
      <c r="U27" s="475">
        <f t="shared" si="12"/>
        <v>4662</v>
      </c>
      <c r="V27" s="475">
        <f t="shared" si="12"/>
        <v>171040.62999999998</v>
      </c>
      <c r="W27" s="475">
        <f t="shared" si="12"/>
        <v>194030</v>
      </c>
      <c r="X27" s="475">
        <f t="shared" si="12"/>
        <v>143000.41999999998</v>
      </c>
      <c r="Y27" s="475">
        <f t="shared" si="12"/>
        <v>111647</v>
      </c>
      <c r="Z27" s="475">
        <f t="shared" si="12"/>
        <v>6657.58</v>
      </c>
      <c r="AA27" s="475">
        <f t="shared" si="12"/>
        <v>8191</v>
      </c>
      <c r="AB27" s="475">
        <f t="shared" si="12"/>
        <v>17136.82</v>
      </c>
      <c r="AC27" s="475">
        <f t="shared" si="12"/>
        <v>25369.17</v>
      </c>
      <c r="AD27" s="475">
        <f t="shared" si="12"/>
        <v>52299.7</v>
      </c>
      <c r="AE27" s="475">
        <f t="shared" si="12"/>
        <v>59028</v>
      </c>
      <c r="AF27" s="475">
        <f t="shared" si="12"/>
        <v>122701.01000000001</v>
      </c>
      <c r="AG27" s="475">
        <f t="shared" si="12"/>
        <v>140280</v>
      </c>
      <c r="AH27" s="475">
        <f t="shared" si="12"/>
        <v>33892</v>
      </c>
      <c r="AI27" s="475">
        <f t="shared" si="12"/>
        <v>40678</v>
      </c>
      <c r="AJ27" s="475">
        <f t="shared" si="12"/>
        <v>14912.269999999999</v>
      </c>
      <c r="AK27" s="475">
        <f t="shared" si="12"/>
        <v>15480</v>
      </c>
      <c r="AL27" s="475">
        <f t="shared" si="12"/>
        <v>0</v>
      </c>
      <c r="AM27" s="475">
        <f t="shared" si="12"/>
        <v>0</v>
      </c>
      <c r="AN27" s="475">
        <f t="shared" si="12"/>
        <v>174253.41</v>
      </c>
      <c r="AO27" s="475">
        <f t="shared" si="12"/>
        <v>215829</v>
      </c>
      <c r="AP27" s="475">
        <f t="shared" si="12"/>
        <v>12289.51</v>
      </c>
      <c r="AQ27" s="475">
        <f t="shared" si="12"/>
        <v>12763</v>
      </c>
      <c r="AR27" s="475">
        <f t="shared" si="12"/>
        <v>18219.760000000002</v>
      </c>
      <c r="AS27" s="475">
        <f t="shared" si="12"/>
        <v>23780</v>
      </c>
      <c r="AT27" s="475">
        <f t="shared" si="12"/>
        <v>105751.42</v>
      </c>
      <c r="AU27" s="475">
        <f t="shared" si="12"/>
        <v>132182</v>
      </c>
      <c r="AV27" s="478">
        <f t="shared" si="8"/>
        <v>1067644.28</v>
      </c>
      <c r="AW27" s="496">
        <f t="shared" si="9"/>
        <v>1215694.17</v>
      </c>
      <c r="AX27" s="480">
        <f>SUM(AX17:AX26)</f>
        <v>2217063.88</v>
      </c>
      <c r="AY27" s="481">
        <f>SUM(AY17:AY26)</f>
        <v>2317142</v>
      </c>
      <c r="AZ27" s="478">
        <f t="shared" si="10"/>
        <v>3284708.16</v>
      </c>
      <c r="BA27" s="482">
        <f t="shared" si="11"/>
        <v>3532836.17</v>
      </c>
    </row>
  </sheetData>
  <mergeCells count="26">
    <mergeCell ref="AZ3:BA3"/>
    <mergeCell ref="AB3:AC3"/>
    <mergeCell ref="AR3:AS3"/>
    <mergeCell ref="AX3:AY3"/>
    <mergeCell ref="AT3:AU3"/>
    <mergeCell ref="AV3:AW3"/>
    <mergeCell ref="AN3:AO3"/>
    <mergeCell ref="AP3:AQ3"/>
    <mergeCell ref="AL3:AM3"/>
    <mergeCell ref="AJ3:AK3"/>
    <mergeCell ref="AH3:AI3"/>
    <mergeCell ref="T3:U3"/>
    <mergeCell ref="B3:C3"/>
    <mergeCell ref="D3:E3"/>
    <mergeCell ref="AD3:AE3"/>
    <mergeCell ref="AF3:AG3"/>
    <mergeCell ref="V3:W3"/>
    <mergeCell ref="X3:Y3"/>
    <mergeCell ref="Z3:AA3"/>
    <mergeCell ref="H3:I3"/>
    <mergeCell ref="F3:G3"/>
    <mergeCell ref="L3:M3"/>
    <mergeCell ref="J3:K3"/>
    <mergeCell ref="N3:O3"/>
    <mergeCell ref="P3:Q3"/>
    <mergeCell ref="R3:S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BA39"/>
  <sheetViews>
    <sheetView topLeftCell="A34" workbookViewId="0">
      <pane xSplit="1" topLeftCell="AR1" activePane="topRight" state="frozen"/>
      <selection pane="topRight" activeCell="A6" sqref="A6"/>
    </sheetView>
  </sheetViews>
  <sheetFormatPr defaultRowHeight="16.5" x14ac:dyDescent="0.3"/>
  <cols>
    <col min="1" max="1" width="59.42578125" style="127" bestFit="1" customWidth="1"/>
    <col min="2" max="25" width="12.42578125" style="127" bestFit="1" customWidth="1"/>
    <col min="26" max="26" width="12.42578125" style="127" customWidth="1"/>
    <col min="27" max="53" width="12.42578125" style="127" bestFit="1" customWidth="1"/>
    <col min="54" max="16384" width="9.140625" style="127"/>
  </cols>
  <sheetData>
    <row r="1" spans="1:53" ht="18" x14ac:dyDescent="0.35">
      <c r="A1" s="1353" t="s">
        <v>155</v>
      </c>
      <c r="B1" s="1353"/>
      <c r="C1" s="1353"/>
      <c r="D1" s="1353"/>
      <c r="E1" s="1353"/>
      <c r="F1" s="1353"/>
      <c r="G1" s="1353"/>
      <c r="H1" s="1353"/>
      <c r="I1" s="1353"/>
      <c r="J1" s="1353"/>
      <c r="K1" s="1353"/>
      <c r="L1" s="1353"/>
      <c r="M1" s="1353"/>
      <c r="N1" s="1353"/>
      <c r="O1" s="1353"/>
      <c r="P1" s="1353"/>
      <c r="Q1" s="1353"/>
      <c r="R1" s="1353"/>
      <c r="S1" s="1353"/>
      <c r="T1" s="1353"/>
      <c r="U1" s="1353"/>
      <c r="V1" s="1353"/>
      <c r="W1" s="1353"/>
      <c r="X1" s="1353"/>
      <c r="Y1" s="1353"/>
      <c r="Z1" s="1353"/>
      <c r="AA1" s="1353"/>
      <c r="AB1" s="1353"/>
      <c r="AC1" s="1353"/>
      <c r="AD1" s="1353"/>
      <c r="AE1" s="1353"/>
      <c r="AF1" s="1353"/>
      <c r="AG1" s="1353"/>
      <c r="AH1" s="1353"/>
      <c r="AI1" s="1353"/>
      <c r="AJ1" s="1353"/>
      <c r="AK1" s="1353"/>
      <c r="AL1" s="1353"/>
      <c r="AM1" s="1353"/>
      <c r="AN1" s="1353"/>
      <c r="AO1" s="1353"/>
      <c r="AP1" s="1353"/>
      <c r="AQ1" s="1353"/>
      <c r="AR1" s="1353"/>
      <c r="AS1" s="1353"/>
      <c r="AT1" s="1353"/>
      <c r="AU1" s="1353"/>
      <c r="AV1" s="1353"/>
      <c r="AW1" s="1353"/>
      <c r="AX1" s="1353"/>
      <c r="AY1" s="1353"/>
    </row>
    <row r="2" spans="1:53" s="487" customFormat="1" ht="18.75" thickBot="1" x14ac:dyDescent="0.4">
      <c r="A2" s="1354" t="s">
        <v>437</v>
      </c>
      <c r="B2" s="1354"/>
      <c r="C2" s="1354"/>
      <c r="D2" s="1354"/>
      <c r="E2" s="1354"/>
      <c r="F2" s="1354"/>
      <c r="G2" s="1354"/>
      <c r="H2" s="1354"/>
      <c r="I2" s="1354"/>
      <c r="J2" s="1354"/>
      <c r="K2" s="1354"/>
      <c r="L2" s="1354"/>
      <c r="M2" s="1354"/>
      <c r="N2" s="1354"/>
      <c r="O2" s="1354"/>
      <c r="P2" s="1354"/>
      <c r="Q2" s="1354"/>
      <c r="R2" s="1354"/>
      <c r="S2" s="1354"/>
      <c r="T2" s="1354"/>
      <c r="U2" s="1354"/>
      <c r="V2" s="1354"/>
      <c r="W2" s="1354"/>
      <c r="X2" s="1354"/>
      <c r="Y2" s="1354"/>
      <c r="Z2" s="1354"/>
      <c r="AA2" s="1354"/>
      <c r="AB2" s="1354"/>
      <c r="AC2" s="1354"/>
      <c r="AD2" s="1354"/>
      <c r="AE2" s="1354"/>
      <c r="AF2" s="1354"/>
      <c r="AG2" s="1354"/>
      <c r="AH2" s="1354"/>
      <c r="AI2" s="1354"/>
      <c r="AJ2" s="1354"/>
      <c r="AK2" s="1354"/>
      <c r="AL2" s="1354"/>
      <c r="AM2" s="1354"/>
      <c r="AN2" s="1354"/>
      <c r="AO2" s="1354"/>
      <c r="AP2" s="1354"/>
      <c r="AQ2" s="1354"/>
      <c r="AR2" s="1354"/>
      <c r="AS2" s="1354"/>
      <c r="AT2" s="1354"/>
      <c r="AU2" s="1354"/>
      <c r="AV2" s="1354"/>
      <c r="AW2" s="1354"/>
      <c r="AX2" s="1354"/>
      <c r="AY2" s="1354"/>
    </row>
    <row r="3" spans="1:53" s="797" customFormat="1" ht="30" customHeight="1" thickBot="1" x14ac:dyDescent="0.3">
      <c r="A3" s="1355" t="s">
        <v>0</v>
      </c>
      <c r="B3" s="1350" t="s">
        <v>158</v>
      </c>
      <c r="C3" s="1352"/>
      <c r="D3" s="1351" t="s">
        <v>159</v>
      </c>
      <c r="E3" s="1351"/>
      <c r="F3" s="1350" t="s">
        <v>160</v>
      </c>
      <c r="G3" s="1351"/>
      <c r="H3" s="1350" t="s">
        <v>161</v>
      </c>
      <c r="I3" s="1352"/>
      <c r="J3" s="1351" t="s">
        <v>162</v>
      </c>
      <c r="K3" s="1351"/>
      <c r="L3" s="1350" t="s">
        <v>163</v>
      </c>
      <c r="M3" s="1352"/>
      <c r="N3" s="1351" t="s">
        <v>312</v>
      </c>
      <c r="O3" s="1351"/>
      <c r="P3" s="1350" t="s">
        <v>164</v>
      </c>
      <c r="Q3" s="1352"/>
      <c r="R3" s="1351" t="s">
        <v>165</v>
      </c>
      <c r="S3" s="1351"/>
      <c r="T3" s="1350" t="s">
        <v>166</v>
      </c>
      <c r="U3" s="1351"/>
      <c r="V3" s="1350" t="s">
        <v>167</v>
      </c>
      <c r="W3" s="1352"/>
      <c r="X3" s="1351" t="s">
        <v>168</v>
      </c>
      <c r="Y3" s="1351"/>
      <c r="Z3" s="1350" t="s">
        <v>383</v>
      </c>
      <c r="AA3" s="1352"/>
      <c r="AB3" s="1351" t="s">
        <v>169</v>
      </c>
      <c r="AC3" s="1352"/>
      <c r="AD3" s="1351" t="s">
        <v>170</v>
      </c>
      <c r="AE3" s="1351"/>
      <c r="AF3" s="1350" t="s">
        <v>171</v>
      </c>
      <c r="AG3" s="1352"/>
      <c r="AH3" s="1351" t="s">
        <v>172</v>
      </c>
      <c r="AI3" s="1351"/>
      <c r="AJ3" s="1350" t="s">
        <v>173</v>
      </c>
      <c r="AK3" s="1351"/>
      <c r="AL3" s="1357" t="s">
        <v>174</v>
      </c>
      <c r="AM3" s="1358"/>
      <c r="AN3" s="1350" t="s">
        <v>175</v>
      </c>
      <c r="AO3" s="1351"/>
      <c r="AP3" s="1350" t="s">
        <v>176</v>
      </c>
      <c r="AQ3" s="1351"/>
      <c r="AR3" s="1350" t="s">
        <v>177</v>
      </c>
      <c r="AS3" s="1351"/>
      <c r="AT3" s="1350" t="s">
        <v>178</v>
      </c>
      <c r="AU3" s="1351"/>
      <c r="AV3" s="1350" t="s">
        <v>1</v>
      </c>
      <c r="AW3" s="1351"/>
      <c r="AX3" s="1350" t="s">
        <v>179</v>
      </c>
      <c r="AY3" s="1351"/>
      <c r="AZ3" s="1341" t="s">
        <v>2</v>
      </c>
      <c r="BA3" s="1349"/>
    </row>
    <row r="4" spans="1:53" s="491" customFormat="1" ht="15" customHeight="1" thickBot="1" x14ac:dyDescent="0.35">
      <c r="A4" s="1356"/>
      <c r="B4" s="489" t="s">
        <v>380</v>
      </c>
      <c r="C4" s="450" t="s">
        <v>423</v>
      </c>
      <c r="D4" s="489" t="s">
        <v>380</v>
      </c>
      <c r="E4" s="450" t="s">
        <v>423</v>
      </c>
      <c r="F4" s="489" t="s">
        <v>380</v>
      </c>
      <c r="G4" s="490" t="s">
        <v>423</v>
      </c>
      <c r="H4" s="489" t="s">
        <v>380</v>
      </c>
      <c r="I4" s="450" t="s">
        <v>423</v>
      </c>
      <c r="J4" s="490" t="s">
        <v>380</v>
      </c>
      <c r="K4" s="450" t="s">
        <v>423</v>
      </c>
      <c r="L4" s="489" t="s">
        <v>380</v>
      </c>
      <c r="M4" s="450" t="s">
        <v>423</v>
      </c>
      <c r="N4" s="489" t="s">
        <v>380</v>
      </c>
      <c r="O4" s="450" t="s">
        <v>423</v>
      </c>
      <c r="P4" s="489" t="s">
        <v>380</v>
      </c>
      <c r="Q4" s="450" t="s">
        <v>423</v>
      </c>
      <c r="R4" s="489" t="s">
        <v>380</v>
      </c>
      <c r="S4" s="450" t="s">
        <v>423</v>
      </c>
      <c r="T4" s="489" t="s">
        <v>380</v>
      </c>
      <c r="U4" s="450" t="s">
        <v>423</v>
      </c>
      <c r="V4" s="489" t="s">
        <v>380</v>
      </c>
      <c r="W4" s="450" t="s">
        <v>423</v>
      </c>
      <c r="X4" s="490" t="s">
        <v>380</v>
      </c>
      <c r="Y4" s="450" t="s">
        <v>423</v>
      </c>
      <c r="Z4" s="489" t="s">
        <v>380</v>
      </c>
      <c r="AA4" s="450" t="s">
        <v>423</v>
      </c>
      <c r="AB4" s="490" t="s">
        <v>380</v>
      </c>
      <c r="AC4" s="450" t="s">
        <v>423</v>
      </c>
      <c r="AD4" s="489" t="s">
        <v>380</v>
      </c>
      <c r="AE4" s="450" t="s">
        <v>423</v>
      </c>
      <c r="AF4" s="489" t="s">
        <v>380</v>
      </c>
      <c r="AG4" s="450" t="s">
        <v>423</v>
      </c>
      <c r="AH4" s="489" t="s">
        <v>380</v>
      </c>
      <c r="AI4" s="450" t="s">
        <v>423</v>
      </c>
      <c r="AJ4" s="489" t="s">
        <v>380</v>
      </c>
      <c r="AK4" s="450" t="s">
        <v>423</v>
      </c>
      <c r="AL4" s="489" t="s">
        <v>380</v>
      </c>
      <c r="AM4" s="450" t="s">
        <v>423</v>
      </c>
      <c r="AN4" s="489" t="s">
        <v>380</v>
      </c>
      <c r="AO4" s="450" t="s">
        <v>423</v>
      </c>
      <c r="AP4" s="489" t="s">
        <v>380</v>
      </c>
      <c r="AQ4" s="450" t="s">
        <v>423</v>
      </c>
      <c r="AR4" s="489" t="s">
        <v>380</v>
      </c>
      <c r="AS4" s="450" t="s">
        <v>423</v>
      </c>
      <c r="AT4" s="489" t="s">
        <v>380</v>
      </c>
      <c r="AU4" s="450" t="s">
        <v>423</v>
      </c>
      <c r="AV4" s="489" t="s">
        <v>380</v>
      </c>
      <c r="AW4" s="450" t="s">
        <v>423</v>
      </c>
      <c r="AX4" s="489" t="s">
        <v>380</v>
      </c>
      <c r="AY4" s="450" t="s">
        <v>423</v>
      </c>
      <c r="AZ4" s="489" t="s">
        <v>380</v>
      </c>
      <c r="BA4" s="450" t="s">
        <v>423</v>
      </c>
    </row>
    <row r="5" spans="1:53" ht="15" customHeight="1" x14ac:dyDescent="0.3">
      <c r="A5" s="619" t="s">
        <v>74</v>
      </c>
      <c r="B5" s="607">
        <v>70092.039999999994</v>
      </c>
      <c r="C5" s="609">
        <v>76586</v>
      </c>
      <c r="D5" s="610">
        <v>7527.38</v>
      </c>
      <c r="E5" s="609">
        <v>6542</v>
      </c>
      <c r="F5" s="608">
        <v>15459</v>
      </c>
      <c r="G5" s="611">
        <v>14716</v>
      </c>
      <c r="H5" s="607">
        <v>119308.23</v>
      </c>
      <c r="I5" s="609">
        <v>190838</v>
      </c>
      <c r="J5" s="610">
        <v>34224.32</v>
      </c>
      <c r="K5" s="609">
        <v>44243</v>
      </c>
      <c r="L5" s="608">
        <v>34519</v>
      </c>
      <c r="M5" s="609">
        <v>43532</v>
      </c>
      <c r="N5" s="608">
        <v>16268.08</v>
      </c>
      <c r="O5" s="609">
        <v>17099</v>
      </c>
      <c r="P5" s="608">
        <v>30335.24</v>
      </c>
      <c r="Q5" s="609">
        <v>29872</v>
      </c>
      <c r="R5" s="608">
        <v>30372</v>
      </c>
      <c r="S5" s="609">
        <v>32032</v>
      </c>
      <c r="T5" s="608">
        <v>41501.86</v>
      </c>
      <c r="U5" s="611">
        <v>34021</v>
      </c>
      <c r="V5" s="607">
        <v>167558.32</v>
      </c>
      <c r="W5" s="609">
        <v>202903</v>
      </c>
      <c r="X5" s="610">
        <v>99245.759999999995</v>
      </c>
      <c r="Y5" s="611">
        <v>119702</v>
      </c>
      <c r="Z5" s="607">
        <v>13034.94</v>
      </c>
      <c r="AA5" s="609">
        <v>14351</v>
      </c>
      <c r="AB5" s="610">
        <v>28144.720000000001</v>
      </c>
      <c r="AC5" s="609">
        <v>31327</v>
      </c>
      <c r="AD5" s="608">
        <v>100395.36</v>
      </c>
      <c r="AE5" s="609">
        <v>111143</v>
      </c>
      <c r="AF5" s="608">
        <v>162043.59</v>
      </c>
      <c r="AG5" s="609">
        <v>165149</v>
      </c>
      <c r="AH5" s="608">
        <v>65251</v>
      </c>
      <c r="AI5" s="611">
        <v>72224</v>
      </c>
      <c r="AJ5" s="607">
        <v>71173.91</v>
      </c>
      <c r="AK5" s="611">
        <v>74005</v>
      </c>
      <c r="AL5" s="612"/>
      <c r="AM5" s="612"/>
      <c r="AN5" s="849">
        <v>149097.5</v>
      </c>
      <c r="AO5" s="845">
        <v>161943</v>
      </c>
      <c r="AP5" s="607">
        <v>33686.400000000001</v>
      </c>
      <c r="AQ5" s="611">
        <v>33789.269999999997</v>
      </c>
      <c r="AR5" s="607">
        <v>25414.11</v>
      </c>
      <c r="AS5" s="611">
        <v>31612</v>
      </c>
      <c r="AT5" s="607">
        <v>69662.14</v>
      </c>
      <c r="AU5" s="611">
        <v>101051</v>
      </c>
      <c r="AV5" s="607">
        <f t="shared" ref="AV5:AV38" si="0">SUM(B5+D5+F5+H5+J5+L5+N5+P5+R5+T5+V5+X5+Z5+AB5+AD5+AF5+AH5+AJ5+AL5+AN5+AP5+AR5+AT5)</f>
        <v>1384314.8999999997</v>
      </c>
      <c r="AW5" s="612">
        <f t="shared" ref="AW5:AW38" si="1">SUM(C5+E5+G5+I5+K5+M5+O5+Q5+S5+U5+W5+Y5+AA5+AC5+AE5+AG5+AI5+AK5+AM5+AO5+AQ5+AS5+AU5)</f>
        <v>1608680.27</v>
      </c>
      <c r="AX5" s="607">
        <v>2675517.9</v>
      </c>
      <c r="AY5" s="611">
        <v>3031057</v>
      </c>
      <c r="AZ5" s="607">
        <f t="shared" ref="AZ5:AZ38" si="2">AV5+AX5</f>
        <v>4059832.8</v>
      </c>
      <c r="BA5" s="613">
        <f t="shared" ref="BA5:BA38" si="3">AW5+AY5</f>
        <v>4639737.2699999996</v>
      </c>
    </row>
    <row r="6" spans="1:53" x14ac:dyDescent="0.3">
      <c r="A6" s="173" t="s">
        <v>75</v>
      </c>
      <c r="B6" s="174">
        <v>769.67</v>
      </c>
      <c r="C6" s="175">
        <v>1083</v>
      </c>
      <c r="D6" s="176">
        <v>44.43</v>
      </c>
      <c r="E6" s="178">
        <v>70</v>
      </c>
      <c r="F6" s="177">
        <v>52.77</v>
      </c>
      <c r="G6" s="337">
        <v>158</v>
      </c>
      <c r="H6" s="181">
        <v>825.95</v>
      </c>
      <c r="I6" s="178">
        <v>2348</v>
      </c>
      <c r="J6" s="176">
        <v>360.34</v>
      </c>
      <c r="K6" s="178">
        <v>775</v>
      </c>
      <c r="L6" s="177">
        <v>1351</v>
      </c>
      <c r="M6" s="178">
        <v>1731</v>
      </c>
      <c r="N6" s="177">
        <v>38.700000000000003</v>
      </c>
      <c r="O6" s="178">
        <v>80</v>
      </c>
      <c r="P6" s="177">
        <v>617.17999999999995</v>
      </c>
      <c r="Q6" s="178">
        <v>639</v>
      </c>
      <c r="R6" s="177">
        <v>240</v>
      </c>
      <c r="S6" s="178">
        <v>721</v>
      </c>
      <c r="T6" s="177">
        <v>221.85</v>
      </c>
      <c r="U6" s="337">
        <v>157</v>
      </c>
      <c r="V6" s="181">
        <v>529.89</v>
      </c>
      <c r="W6" s="178">
        <v>1848</v>
      </c>
      <c r="X6" s="176">
        <v>1032.3800000000001</v>
      </c>
      <c r="Y6" s="337">
        <v>2864</v>
      </c>
      <c r="Z6" s="339">
        <v>191.23</v>
      </c>
      <c r="AA6" s="536">
        <v>182</v>
      </c>
      <c r="AB6" s="176">
        <v>1014.01</v>
      </c>
      <c r="AC6" s="178">
        <v>1478</v>
      </c>
      <c r="AD6" s="177">
        <v>843.65</v>
      </c>
      <c r="AE6" s="178">
        <v>1372</v>
      </c>
      <c r="AF6" s="177">
        <v>2763.83</v>
      </c>
      <c r="AG6" s="178">
        <v>350</v>
      </c>
      <c r="AH6" s="177">
        <v>569</v>
      </c>
      <c r="AI6" s="337">
        <v>1150</v>
      </c>
      <c r="AJ6" s="181">
        <v>113.22</v>
      </c>
      <c r="AK6" s="337">
        <v>1093</v>
      </c>
      <c r="AL6" s="853"/>
      <c r="AM6" s="853"/>
      <c r="AN6" s="850">
        <v>5188.53</v>
      </c>
      <c r="AO6" s="846">
        <v>7576</v>
      </c>
      <c r="AP6" s="596">
        <v>1510.83</v>
      </c>
      <c r="AQ6" s="842">
        <v>1769.2</v>
      </c>
      <c r="AR6" s="180">
        <v>345.14</v>
      </c>
      <c r="AS6" s="492">
        <v>448</v>
      </c>
      <c r="AT6" s="181">
        <v>1736.81</v>
      </c>
      <c r="AU6" s="337">
        <v>2955</v>
      </c>
      <c r="AV6" s="182">
        <f t="shared" si="0"/>
        <v>20360.41</v>
      </c>
      <c r="AW6" s="493">
        <f t="shared" si="1"/>
        <v>30847.200000000001</v>
      </c>
      <c r="AX6" s="180">
        <v>19302.48</v>
      </c>
      <c r="AY6" s="492">
        <v>31358</v>
      </c>
      <c r="AZ6" s="182">
        <f t="shared" si="2"/>
        <v>39662.89</v>
      </c>
      <c r="BA6" s="836">
        <f t="shared" si="3"/>
        <v>62205.2</v>
      </c>
    </row>
    <row r="7" spans="1:53" x14ac:dyDescent="0.3">
      <c r="A7" s="173" t="s">
        <v>76</v>
      </c>
      <c r="B7" s="174">
        <v>830.16</v>
      </c>
      <c r="C7" s="175">
        <v>2400</v>
      </c>
      <c r="D7" s="176">
        <v>21.22</v>
      </c>
      <c r="E7" s="178">
        <v>18</v>
      </c>
      <c r="F7" s="177">
        <v>6</v>
      </c>
      <c r="G7" s="337">
        <v>6</v>
      </c>
      <c r="H7" s="181">
        <v>582.77</v>
      </c>
      <c r="I7" s="178">
        <v>1728</v>
      </c>
      <c r="J7" s="176">
        <v>99.88</v>
      </c>
      <c r="K7" s="178">
        <v>199</v>
      </c>
      <c r="L7" s="177">
        <v>1175</v>
      </c>
      <c r="M7" s="178">
        <v>895</v>
      </c>
      <c r="N7" s="177">
        <v>84.31</v>
      </c>
      <c r="O7" s="178">
        <v>17</v>
      </c>
      <c r="P7" s="177">
        <v>199.44</v>
      </c>
      <c r="Q7" s="178">
        <v>344</v>
      </c>
      <c r="R7" s="177">
        <v>27</v>
      </c>
      <c r="S7" s="178">
        <v>10</v>
      </c>
      <c r="T7" s="177">
        <v>974.65</v>
      </c>
      <c r="U7" s="337">
        <v>2338</v>
      </c>
      <c r="V7" s="181">
        <v>9526.5</v>
      </c>
      <c r="W7" s="178">
        <v>7112</v>
      </c>
      <c r="X7" s="176">
        <v>425.11</v>
      </c>
      <c r="Y7" s="337">
        <v>672</v>
      </c>
      <c r="Z7" s="339">
        <v>18.010000000000002</v>
      </c>
      <c r="AA7" s="536">
        <v>27</v>
      </c>
      <c r="AB7" s="176">
        <v>825.6</v>
      </c>
      <c r="AC7" s="178">
        <v>1703</v>
      </c>
      <c r="AD7" s="177">
        <v>1152</v>
      </c>
      <c r="AE7" s="178">
        <v>1234</v>
      </c>
      <c r="AF7" s="177">
        <v>8951.58</v>
      </c>
      <c r="AG7" s="178">
        <v>6751</v>
      </c>
      <c r="AH7" s="177">
        <v>64</v>
      </c>
      <c r="AI7" s="337">
        <v>301</v>
      </c>
      <c r="AJ7" s="181">
        <v>984.81</v>
      </c>
      <c r="AK7" s="337">
        <v>661</v>
      </c>
      <c r="AL7" s="853"/>
      <c r="AM7" s="853"/>
      <c r="AN7" s="850">
        <v>4170.3</v>
      </c>
      <c r="AO7" s="846">
        <v>6968</v>
      </c>
      <c r="AP7" s="596">
        <v>338.75</v>
      </c>
      <c r="AQ7" s="842">
        <v>267.58999999999997</v>
      </c>
      <c r="AR7" s="180">
        <v>494.74</v>
      </c>
      <c r="AS7" s="492">
        <v>738</v>
      </c>
      <c r="AT7" s="181">
        <v>1063.45</v>
      </c>
      <c r="AU7" s="337">
        <v>8290</v>
      </c>
      <c r="AV7" s="182">
        <f t="shared" si="0"/>
        <v>32015.280000000006</v>
      </c>
      <c r="AW7" s="493">
        <f t="shared" si="1"/>
        <v>42679.59</v>
      </c>
      <c r="AX7" s="180">
        <v>907.24</v>
      </c>
      <c r="AY7" s="492">
        <v>1151</v>
      </c>
      <c r="AZ7" s="182">
        <f t="shared" si="2"/>
        <v>32922.520000000004</v>
      </c>
      <c r="BA7" s="836">
        <f t="shared" si="3"/>
        <v>43830.59</v>
      </c>
    </row>
    <row r="8" spans="1:53" x14ac:dyDescent="0.3">
      <c r="A8" s="173" t="s">
        <v>77</v>
      </c>
      <c r="B8" s="174">
        <v>5376.8</v>
      </c>
      <c r="C8" s="175">
        <v>5487</v>
      </c>
      <c r="D8" s="176">
        <v>824.28</v>
      </c>
      <c r="E8" s="178">
        <v>176</v>
      </c>
      <c r="F8" s="177">
        <v>2816</v>
      </c>
      <c r="G8" s="337">
        <v>3067</v>
      </c>
      <c r="H8" s="840">
        <v>5719.44</v>
      </c>
      <c r="I8" s="178">
        <v>3096</v>
      </c>
      <c r="J8" s="176">
        <v>2570.02</v>
      </c>
      <c r="K8" s="178">
        <v>2042</v>
      </c>
      <c r="L8" s="177">
        <v>1716</v>
      </c>
      <c r="M8" s="178">
        <v>948</v>
      </c>
      <c r="N8" s="177">
        <v>1876.5</v>
      </c>
      <c r="O8" s="178">
        <v>1850</v>
      </c>
      <c r="P8" s="177">
        <v>2343.85</v>
      </c>
      <c r="Q8" s="178">
        <v>1339</v>
      </c>
      <c r="R8" s="177">
        <v>3064</v>
      </c>
      <c r="S8" s="178">
        <v>3078</v>
      </c>
      <c r="T8" s="177">
        <v>2212</v>
      </c>
      <c r="U8" s="337">
        <v>1994</v>
      </c>
      <c r="V8" s="181">
        <v>10290.08</v>
      </c>
      <c r="W8" s="178">
        <v>10891</v>
      </c>
      <c r="X8" s="176">
        <v>17375.79</v>
      </c>
      <c r="Y8" s="337">
        <v>6433</v>
      </c>
      <c r="Z8" s="339">
        <v>841.92</v>
      </c>
      <c r="AA8" s="536">
        <v>818</v>
      </c>
      <c r="AB8" s="176">
        <v>1884.52</v>
      </c>
      <c r="AC8" s="178">
        <v>2673</v>
      </c>
      <c r="AD8" s="177">
        <v>4977.63</v>
      </c>
      <c r="AE8" s="178">
        <v>5191</v>
      </c>
      <c r="AF8" s="177">
        <v>8642.25</v>
      </c>
      <c r="AG8" s="178">
        <v>7647</v>
      </c>
      <c r="AH8" s="177">
        <v>2056</v>
      </c>
      <c r="AI8" s="337">
        <v>2263</v>
      </c>
      <c r="AJ8" s="181">
        <f>4453.59+2280.59</f>
        <v>6734.18</v>
      </c>
      <c r="AK8" s="337">
        <f>4542+2432</f>
        <v>6974</v>
      </c>
      <c r="AL8" s="853"/>
      <c r="AM8" s="853"/>
      <c r="AN8" s="850">
        <v>8860.4</v>
      </c>
      <c r="AO8" s="846">
        <v>9205</v>
      </c>
      <c r="AP8" s="596">
        <v>1598.67</v>
      </c>
      <c r="AQ8" s="842">
        <v>1411.19</v>
      </c>
      <c r="AR8" s="180">
        <v>1551.09</v>
      </c>
      <c r="AS8" s="492">
        <v>1580</v>
      </c>
      <c r="AT8" s="181">
        <v>2934.22</v>
      </c>
      <c r="AU8" s="337">
        <v>3162</v>
      </c>
      <c r="AV8" s="182">
        <f t="shared" si="0"/>
        <v>96265.63999999997</v>
      </c>
      <c r="AW8" s="493">
        <f t="shared" si="1"/>
        <v>81325.19</v>
      </c>
      <c r="AX8" s="180">
        <v>60272.71</v>
      </c>
      <c r="AY8" s="492">
        <v>66662</v>
      </c>
      <c r="AZ8" s="182">
        <f t="shared" si="2"/>
        <v>156538.34999999998</v>
      </c>
      <c r="BA8" s="836">
        <f t="shared" si="3"/>
        <v>147987.19</v>
      </c>
    </row>
    <row r="9" spans="1:53" x14ac:dyDescent="0.3">
      <c r="A9" s="173" t="s">
        <v>78</v>
      </c>
      <c r="B9" s="174">
        <v>2380.85</v>
      </c>
      <c r="C9" s="175">
        <v>2274</v>
      </c>
      <c r="D9" s="176">
        <v>12.84</v>
      </c>
      <c r="E9" s="178">
        <v>4</v>
      </c>
      <c r="F9" s="177">
        <v>1149.31</v>
      </c>
      <c r="G9" s="337">
        <v>1273</v>
      </c>
      <c r="H9" s="181">
        <v>1066.4000000000001</v>
      </c>
      <c r="I9" s="178">
        <v>945</v>
      </c>
      <c r="J9" s="176">
        <v>282.3</v>
      </c>
      <c r="K9" s="178">
        <v>284</v>
      </c>
      <c r="L9" s="177">
        <v>225.18</v>
      </c>
      <c r="M9" s="178">
        <v>207</v>
      </c>
      <c r="N9" s="177">
        <v>662.3</v>
      </c>
      <c r="O9" s="178">
        <v>622</v>
      </c>
      <c r="P9" s="177">
        <v>979.43</v>
      </c>
      <c r="Q9" s="178">
        <v>915</v>
      </c>
      <c r="R9" s="177">
        <v>110</v>
      </c>
      <c r="S9" s="178">
        <v>175</v>
      </c>
      <c r="T9" s="177">
        <v>1137.7</v>
      </c>
      <c r="U9" s="337">
        <v>981</v>
      </c>
      <c r="V9" s="181">
        <v>550.48</v>
      </c>
      <c r="W9" s="178">
        <v>521</v>
      </c>
      <c r="X9" s="176">
        <v>3485.55</v>
      </c>
      <c r="Y9" s="337">
        <v>3435</v>
      </c>
      <c r="Z9" s="339">
        <f>20.24+414.78</f>
        <v>435.02</v>
      </c>
      <c r="AA9" s="536">
        <v>50</v>
      </c>
      <c r="AB9" s="176">
        <v>285.85000000000002</v>
      </c>
      <c r="AC9" s="178">
        <v>326</v>
      </c>
      <c r="AD9" s="177">
        <v>1780.15</v>
      </c>
      <c r="AE9" s="178">
        <v>1878</v>
      </c>
      <c r="AF9" s="177">
        <v>3264.12</v>
      </c>
      <c r="AG9" s="178">
        <v>3627</v>
      </c>
      <c r="AH9" s="177">
        <v>258</v>
      </c>
      <c r="AI9" s="337">
        <v>299</v>
      </c>
      <c r="AJ9" s="181">
        <v>162.61000000000001</v>
      </c>
      <c r="AK9" s="337">
        <v>287</v>
      </c>
      <c r="AL9" s="853"/>
      <c r="AM9" s="853"/>
      <c r="AN9" s="850">
        <v>7382.42</v>
      </c>
      <c r="AO9" s="846">
        <v>8619</v>
      </c>
      <c r="AP9" s="596">
        <v>23.28</v>
      </c>
      <c r="AQ9" s="842">
        <v>28.25</v>
      </c>
      <c r="AR9" s="180">
        <v>1381.82</v>
      </c>
      <c r="AS9" s="492">
        <v>1388</v>
      </c>
      <c r="AT9" s="181">
        <v>1966.24</v>
      </c>
      <c r="AU9" s="337">
        <v>2265</v>
      </c>
      <c r="AV9" s="182">
        <f t="shared" si="0"/>
        <v>28981.850000000002</v>
      </c>
      <c r="AW9" s="493">
        <f t="shared" si="1"/>
        <v>30403.25</v>
      </c>
      <c r="AX9" s="180">
        <v>16552.04</v>
      </c>
      <c r="AY9" s="492">
        <v>14060</v>
      </c>
      <c r="AZ9" s="182">
        <f t="shared" si="2"/>
        <v>45533.89</v>
      </c>
      <c r="BA9" s="836">
        <f t="shared" si="3"/>
        <v>44463.25</v>
      </c>
    </row>
    <row r="10" spans="1:53" x14ac:dyDescent="0.3">
      <c r="A10" s="173" t="s">
        <v>79</v>
      </c>
      <c r="B10" s="174">
        <v>313.23</v>
      </c>
      <c r="C10" s="175">
        <v>278</v>
      </c>
      <c r="D10" s="176">
        <v>35</v>
      </c>
      <c r="E10" s="178">
        <v>15</v>
      </c>
      <c r="F10" s="177">
        <v>121.76</v>
      </c>
      <c r="G10" s="337">
        <v>133</v>
      </c>
      <c r="H10" s="840">
        <v>465.52</v>
      </c>
      <c r="I10" s="178">
        <v>550</v>
      </c>
      <c r="J10" s="176">
        <v>231.61</v>
      </c>
      <c r="K10" s="178">
        <v>393</v>
      </c>
      <c r="L10" s="177">
        <v>196.1</v>
      </c>
      <c r="M10" s="178">
        <v>237</v>
      </c>
      <c r="N10" s="177">
        <v>29.89</v>
      </c>
      <c r="O10" s="178">
        <v>36</v>
      </c>
      <c r="P10" s="177">
        <v>196.7</v>
      </c>
      <c r="Q10" s="178">
        <v>200</v>
      </c>
      <c r="R10" s="177">
        <v>146</v>
      </c>
      <c r="S10" s="178">
        <v>271</v>
      </c>
      <c r="T10" s="177">
        <v>62.95</v>
      </c>
      <c r="U10" s="337">
        <v>70</v>
      </c>
      <c r="V10" s="181">
        <v>869</v>
      </c>
      <c r="W10" s="178">
        <v>1609</v>
      </c>
      <c r="X10" s="176">
        <v>434.82</v>
      </c>
      <c r="Y10" s="337">
        <v>517</v>
      </c>
      <c r="Z10" s="339">
        <v>118.09</v>
      </c>
      <c r="AA10" s="536">
        <v>179</v>
      </c>
      <c r="AB10" s="176">
        <v>117.15</v>
      </c>
      <c r="AC10" s="178">
        <v>257</v>
      </c>
      <c r="AD10" s="377">
        <v>705.55</v>
      </c>
      <c r="AE10" s="615">
        <v>668</v>
      </c>
      <c r="AF10" s="177">
        <v>685.51</v>
      </c>
      <c r="AG10" s="178">
        <v>669</v>
      </c>
      <c r="AH10" s="177">
        <v>378</v>
      </c>
      <c r="AI10" s="337">
        <v>461</v>
      </c>
      <c r="AJ10" s="181">
        <v>279.61</v>
      </c>
      <c r="AK10" s="337">
        <v>303</v>
      </c>
      <c r="AL10" s="853"/>
      <c r="AM10" s="853"/>
      <c r="AN10" s="850">
        <v>765.48</v>
      </c>
      <c r="AO10" s="846">
        <v>1246</v>
      </c>
      <c r="AP10" s="596">
        <v>341.47</v>
      </c>
      <c r="AQ10" s="842">
        <v>308.45</v>
      </c>
      <c r="AR10" s="180">
        <v>96.42</v>
      </c>
      <c r="AS10" s="492">
        <v>173</v>
      </c>
      <c r="AT10" s="181">
        <v>403.15</v>
      </c>
      <c r="AU10" s="337">
        <v>485</v>
      </c>
      <c r="AV10" s="174">
        <f t="shared" si="0"/>
        <v>6993.0100000000011</v>
      </c>
      <c r="AW10" s="599">
        <f t="shared" si="1"/>
        <v>9058.4500000000007</v>
      </c>
      <c r="AX10" s="181">
        <v>13419.6</v>
      </c>
      <c r="AY10" s="337">
        <v>14118</v>
      </c>
      <c r="AZ10" s="174">
        <f t="shared" si="2"/>
        <v>20412.61</v>
      </c>
      <c r="BA10" s="600">
        <f t="shared" si="3"/>
        <v>23176.45</v>
      </c>
    </row>
    <row r="11" spans="1:53" x14ac:dyDescent="0.3">
      <c r="A11" s="173" t="s">
        <v>80</v>
      </c>
      <c r="B11" s="174">
        <v>938.85</v>
      </c>
      <c r="C11" s="175">
        <v>826</v>
      </c>
      <c r="D11" s="176">
        <v>119.17</v>
      </c>
      <c r="E11" s="178">
        <v>224</v>
      </c>
      <c r="F11" s="177">
        <v>447.68</v>
      </c>
      <c r="G11" s="337">
        <v>425</v>
      </c>
      <c r="H11" s="181">
        <v>6124.77</v>
      </c>
      <c r="I11" s="178">
        <v>5211</v>
      </c>
      <c r="J11" s="176">
        <v>265.02</v>
      </c>
      <c r="K11" s="178">
        <v>270</v>
      </c>
      <c r="L11" s="177">
        <v>3596.49</v>
      </c>
      <c r="M11" s="178">
        <v>3132</v>
      </c>
      <c r="N11" s="177">
        <v>259.13</v>
      </c>
      <c r="O11" s="178">
        <v>239</v>
      </c>
      <c r="P11" s="177">
        <v>373.96</v>
      </c>
      <c r="Q11" s="178">
        <v>323</v>
      </c>
      <c r="R11" s="177">
        <v>644</v>
      </c>
      <c r="S11" s="178">
        <v>497</v>
      </c>
      <c r="T11" s="177">
        <v>475.86</v>
      </c>
      <c r="U11" s="337">
        <v>400</v>
      </c>
      <c r="V11" s="181">
        <v>2034.46</v>
      </c>
      <c r="W11" s="178">
        <v>2245</v>
      </c>
      <c r="X11" s="176">
        <v>11951.43</v>
      </c>
      <c r="Y11" s="337">
        <v>11986</v>
      </c>
      <c r="Z11" s="181">
        <v>320.05</v>
      </c>
      <c r="AA11" s="178">
        <v>381</v>
      </c>
      <c r="AB11" s="176">
        <v>826.09</v>
      </c>
      <c r="AC11" s="178">
        <v>1127</v>
      </c>
      <c r="AD11" s="177">
        <v>1144.92</v>
      </c>
      <c r="AE11" s="178">
        <v>1177</v>
      </c>
      <c r="AF11" s="177">
        <v>7332.88</v>
      </c>
      <c r="AG11" s="178">
        <v>6226</v>
      </c>
      <c r="AH11" s="177">
        <v>1437</v>
      </c>
      <c r="AI11" s="337">
        <v>1257</v>
      </c>
      <c r="AJ11" s="181">
        <v>848.3</v>
      </c>
      <c r="AK11" s="337">
        <v>855</v>
      </c>
      <c r="AL11" s="853"/>
      <c r="AM11" s="853"/>
      <c r="AN11" s="850">
        <v>4273.1400000000003</v>
      </c>
      <c r="AO11" s="846">
        <v>6063</v>
      </c>
      <c r="AP11" s="596">
        <v>686.13</v>
      </c>
      <c r="AQ11" s="842">
        <v>654.29999999999995</v>
      </c>
      <c r="AR11" s="180">
        <v>247.61</v>
      </c>
      <c r="AS11" s="492">
        <v>342</v>
      </c>
      <c r="AT11" s="181">
        <v>2136.4299999999998</v>
      </c>
      <c r="AU11" s="337">
        <v>2286</v>
      </c>
      <c r="AV11" s="182">
        <f t="shared" si="0"/>
        <v>46483.369999999995</v>
      </c>
      <c r="AW11" s="493">
        <f t="shared" si="1"/>
        <v>46146.3</v>
      </c>
      <c r="AX11" s="180">
        <v>24408.05</v>
      </c>
      <c r="AY11" s="492">
        <v>26962</v>
      </c>
      <c r="AZ11" s="182">
        <f t="shared" si="2"/>
        <v>70891.42</v>
      </c>
      <c r="BA11" s="836">
        <f t="shared" si="3"/>
        <v>73108.3</v>
      </c>
    </row>
    <row r="12" spans="1:53" x14ac:dyDescent="0.3">
      <c r="A12" s="173" t="s">
        <v>81</v>
      </c>
      <c r="B12" s="174">
        <v>1058.8599999999999</v>
      </c>
      <c r="C12" s="175">
        <v>867</v>
      </c>
      <c r="D12" s="176">
        <v>275.97000000000003</v>
      </c>
      <c r="E12" s="178">
        <v>331</v>
      </c>
      <c r="F12" s="177">
        <v>680</v>
      </c>
      <c r="G12" s="337">
        <v>628</v>
      </c>
      <c r="H12" s="181">
        <v>9726.76</v>
      </c>
      <c r="I12" s="178">
        <v>9599</v>
      </c>
      <c r="J12" s="176">
        <v>3181.93</v>
      </c>
      <c r="K12" s="178">
        <v>3827</v>
      </c>
      <c r="L12" s="177">
        <v>1296.27</v>
      </c>
      <c r="M12" s="178">
        <v>2072</v>
      </c>
      <c r="N12" s="177">
        <v>1294.97</v>
      </c>
      <c r="O12" s="178">
        <v>1020</v>
      </c>
      <c r="P12" s="177">
        <v>1333.32</v>
      </c>
      <c r="Q12" s="178">
        <v>1171</v>
      </c>
      <c r="R12" s="177">
        <v>6888</v>
      </c>
      <c r="S12" s="178">
        <v>8751</v>
      </c>
      <c r="T12" s="177">
        <v>938.93</v>
      </c>
      <c r="U12" s="337">
        <v>878</v>
      </c>
      <c r="V12" s="181">
        <v>18180.830000000002</v>
      </c>
      <c r="W12" s="178">
        <v>18961</v>
      </c>
      <c r="X12" s="176">
        <v>17221.41</v>
      </c>
      <c r="Y12" s="337">
        <v>29937</v>
      </c>
      <c r="Z12" s="181">
        <v>1771.08</v>
      </c>
      <c r="AA12" s="178">
        <v>3050</v>
      </c>
      <c r="AB12" s="176">
        <v>679.9</v>
      </c>
      <c r="AC12" s="178">
        <v>1247</v>
      </c>
      <c r="AD12" s="177">
        <v>1926.88</v>
      </c>
      <c r="AE12" s="178">
        <v>2788</v>
      </c>
      <c r="AF12" s="177">
        <v>3345.15</v>
      </c>
      <c r="AG12" s="178">
        <v>3456</v>
      </c>
      <c r="AH12" s="177">
        <v>1746</v>
      </c>
      <c r="AI12" s="337">
        <v>1612</v>
      </c>
      <c r="AJ12" s="181">
        <v>2853.08</v>
      </c>
      <c r="AK12" s="337">
        <v>1998</v>
      </c>
      <c r="AL12" s="853"/>
      <c r="AM12" s="853"/>
      <c r="AN12" s="850">
        <v>14207.29</v>
      </c>
      <c r="AO12" s="846">
        <v>12676</v>
      </c>
      <c r="AP12" s="596">
        <v>2347.11</v>
      </c>
      <c r="AQ12" s="842">
        <v>2460.5</v>
      </c>
      <c r="AR12" s="180">
        <v>763.82</v>
      </c>
      <c r="AS12" s="492">
        <v>940</v>
      </c>
      <c r="AT12" s="181">
        <v>25687.79</v>
      </c>
      <c r="AU12" s="337">
        <v>39633</v>
      </c>
      <c r="AV12" s="182">
        <f t="shared" si="0"/>
        <v>117405.35</v>
      </c>
      <c r="AW12" s="493">
        <f t="shared" si="1"/>
        <v>147902.5</v>
      </c>
      <c r="AX12" s="180">
        <v>969.63</v>
      </c>
      <c r="AY12" s="492">
        <v>2953</v>
      </c>
      <c r="AZ12" s="182">
        <f t="shared" si="2"/>
        <v>118374.98000000001</v>
      </c>
      <c r="BA12" s="836">
        <f t="shared" si="3"/>
        <v>150855.5</v>
      </c>
    </row>
    <row r="13" spans="1:53" x14ac:dyDescent="0.3">
      <c r="A13" s="173" t="s">
        <v>82</v>
      </c>
      <c r="B13" s="174">
        <v>1089.99</v>
      </c>
      <c r="C13" s="175">
        <v>1522</v>
      </c>
      <c r="D13" s="176">
        <v>390.24</v>
      </c>
      <c r="E13" s="178">
        <v>298</v>
      </c>
      <c r="F13" s="177">
        <v>33.82</v>
      </c>
      <c r="G13" s="337">
        <v>64</v>
      </c>
      <c r="H13" s="181">
        <v>1459.78</v>
      </c>
      <c r="I13" s="178">
        <v>1790</v>
      </c>
      <c r="J13" s="176">
        <v>291.3</v>
      </c>
      <c r="K13" s="178">
        <v>529</v>
      </c>
      <c r="L13" s="177">
        <v>448</v>
      </c>
      <c r="M13" s="178">
        <v>498</v>
      </c>
      <c r="N13" s="177">
        <v>50.13</v>
      </c>
      <c r="O13" s="178">
        <v>84</v>
      </c>
      <c r="P13" s="177">
        <v>245.07</v>
      </c>
      <c r="Q13" s="178">
        <v>250</v>
      </c>
      <c r="R13" s="177">
        <v>339.91</v>
      </c>
      <c r="S13" s="178">
        <v>375</v>
      </c>
      <c r="T13" s="177">
        <v>112.56</v>
      </c>
      <c r="U13" s="337">
        <v>100</v>
      </c>
      <c r="V13" s="181">
        <v>2035.1</v>
      </c>
      <c r="W13" s="178">
        <v>2409</v>
      </c>
      <c r="X13" s="176">
        <v>3159.9</v>
      </c>
      <c r="Y13" s="337">
        <v>3690</v>
      </c>
      <c r="Z13" s="181">
        <v>58.37</v>
      </c>
      <c r="AA13" s="178">
        <v>99</v>
      </c>
      <c r="AB13" s="176">
        <v>340.08</v>
      </c>
      <c r="AC13" s="178">
        <v>509</v>
      </c>
      <c r="AD13" s="177">
        <v>1049.54</v>
      </c>
      <c r="AE13" s="178">
        <v>1124</v>
      </c>
      <c r="AF13" s="177">
        <v>3843.37</v>
      </c>
      <c r="AG13" s="178">
        <v>5648</v>
      </c>
      <c r="AH13" s="177">
        <v>889</v>
      </c>
      <c r="AI13" s="337">
        <v>1082</v>
      </c>
      <c r="AJ13" s="181">
        <v>132.74</v>
      </c>
      <c r="AK13" s="337">
        <v>144</v>
      </c>
      <c r="AL13" s="853"/>
      <c r="AM13" s="853"/>
      <c r="AN13" s="850">
        <v>3741.93</v>
      </c>
      <c r="AO13" s="846">
        <v>5343</v>
      </c>
      <c r="AP13" s="596">
        <v>64.040000000000006</v>
      </c>
      <c r="AQ13" s="842">
        <v>66.760000000000005</v>
      </c>
      <c r="AR13" s="180">
        <v>189.09</v>
      </c>
      <c r="AS13" s="492">
        <v>198</v>
      </c>
      <c r="AT13" s="181">
        <v>3228.65</v>
      </c>
      <c r="AU13" s="337">
        <v>3501</v>
      </c>
      <c r="AV13" s="182">
        <f t="shared" si="0"/>
        <v>23192.61</v>
      </c>
      <c r="AW13" s="493">
        <f t="shared" si="1"/>
        <v>29323.759999999998</v>
      </c>
      <c r="AX13" s="180">
        <v>5799.26</v>
      </c>
      <c r="AY13" s="492">
        <v>7500</v>
      </c>
      <c r="AZ13" s="182">
        <f t="shared" si="2"/>
        <v>28991.870000000003</v>
      </c>
      <c r="BA13" s="836">
        <f t="shared" si="3"/>
        <v>36823.759999999995</v>
      </c>
    </row>
    <row r="14" spans="1:53" x14ac:dyDescent="0.3">
      <c r="A14" s="173" t="s">
        <v>83</v>
      </c>
      <c r="B14" s="174"/>
      <c r="C14" s="175"/>
      <c r="D14" s="176"/>
      <c r="E14" s="178"/>
      <c r="F14" s="177"/>
      <c r="G14" s="337"/>
      <c r="H14" s="181"/>
      <c r="I14" s="178"/>
      <c r="J14" s="176"/>
      <c r="K14" s="178"/>
      <c r="L14" s="177"/>
      <c r="M14" s="178"/>
      <c r="N14" s="177"/>
      <c r="O14" s="178"/>
      <c r="P14" s="177"/>
      <c r="Q14" s="178"/>
      <c r="R14" s="177"/>
      <c r="S14" s="178"/>
      <c r="T14" s="177"/>
      <c r="U14" s="337"/>
      <c r="V14" s="181"/>
      <c r="W14" s="178"/>
      <c r="X14" s="176"/>
      <c r="Y14" s="337"/>
      <c r="Z14" s="181"/>
      <c r="AA14" s="178"/>
      <c r="AB14" s="176"/>
      <c r="AC14" s="178"/>
      <c r="AD14" s="177"/>
      <c r="AE14" s="178"/>
      <c r="AF14" s="177"/>
      <c r="AG14" s="178"/>
      <c r="AH14" s="177"/>
      <c r="AI14" s="337"/>
      <c r="AJ14" s="181"/>
      <c r="AK14" s="337"/>
      <c r="AL14" s="853"/>
      <c r="AM14" s="853"/>
      <c r="AN14" s="181"/>
      <c r="AO14" s="337"/>
      <c r="AP14" s="596"/>
      <c r="AQ14" s="842"/>
      <c r="AR14" s="180"/>
      <c r="AS14" s="492"/>
      <c r="AT14" s="181"/>
      <c r="AU14" s="337"/>
      <c r="AV14" s="182">
        <f t="shared" si="0"/>
        <v>0</v>
      </c>
      <c r="AW14" s="493">
        <f t="shared" si="1"/>
        <v>0</v>
      </c>
      <c r="AX14" s="180"/>
      <c r="AY14" s="492"/>
      <c r="AZ14" s="182">
        <f t="shared" si="2"/>
        <v>0</v>
      </c>
      <c r="BA14" s="836">
        <f t="shared" si="3"/>
        <v>0</v>
      </c>
    </row>
    <row r="15" spans="1:53" x14ac:dyDescent="0.3">
      <c r="A15" s="173" t="s">
        <v>84</v>
      </c>
      <c r="B15" s="174">
        <v>92.01</v>
      </c>
      <c r="C15" s="175">
        <v>119</v>
      </c>
      <c r="D15" s="176">
        <v>38.5</v>
      </c>
      <c r="E15" s="178">
        <v>38</v>
      </c>
      <c r="F15" s="177">
        <v>52.17</v>
      </c>
      <c r="G15" s="337">
        <v>81</v>
      </c>
      <c r="H15" s="181">
        <v>95</v>
      </c>
      <c r="I15" s="178">
        <v>106</v>
      </c>
      <c r="J15" s="176">
        <v>62.49</v>
      </c>
      <c r="K15" s="178">
        <v>69</v>
      </c>
      <c r="L15" s="177">
        <v>41</v>
      </c>
      <c r="M15" s="178">
        <v>42</v>
      </c>
      <c r="N15" s="177">
        <v>35</v>
      </c>
      <c r="O15" s="178">
        <v>35</v>
      </c>
      <c r="P15" s="177">
        <v>28</v>
      </c>
      <c r="Q15" s="178">
        <v>35</v>
      </c>
      <c r="R15" s="177">
        <v>37</v>
      </c>
      <c r="S15" s="178">
        <v>66</v>
      </c>
      <c r="T15" s="177">
        <v>35</v>
      </c>
      <c r="U15" s="337">
        <v>45</v>
      </c>
      <c r="V15" s="181">
        <v>114</v>
      </c>
      <c r="W15" s="178">
        <v>114</v>
      </c>
      <c r="X15" s="176">
        <v>215.51</v>
      </c>
      <c r="Y15" s="337">
        <v>231</v>
      </c>
      <c r="Z15" s="339">
        <v>44.28</v>
      </c>
      <c r="AA15" s="536">
        <v>41</v>
      </c>
      <c r="AB15" s="176">
        <v>32.72</v>
      </c>
      <c r="AC15" s="178">
        <v>34</v>
      </c>
      <c r="AD15" s="377">
        <v>78.47</v>
      </c>
      <c r="AE15" s="615">
        <v>78</v>
      </c>
      <c r="AF15" s="177">
        <v>90.31</v>
      </c>
      <c r="AG15" s="178">
        <v>98</v>
      </c>
      <c r="AH15" s="177">
        <v>70</v>
      </c>
      <c r="AI15" s="337">
        <v>77</v>
      </c>
      <c r="AJ15" s="181">
        <v>66.09</v>
      </c>
      <c r="AK15" s="337">
        <v>77</v>
      </c>
      <c r="AL15" s="853"/>
      <c r="AM15" s="853"/>
      <c r="AN15" s="850">
        <v>57</v>
      </c>
      <c r="AO15" s="846">
        <v>73</v>
      </c>
      <c r="AP15" s="596">
        <v>17</v>
      </c>
      <c r="AQ15" s="842">
        <v>16</v>
      </c>
      <c r="AR15" s="180">
        <v>40.43</v>
      </c>
      <c r="AS15" s="492">
        <v>49</v>
      </c>
      <c r="AT15" s="181">
        <v>64</v>
      </c>
      <c r="AU15" s="337">
        <v>80</v>
      </c>
      <c r="AV15" s="174">
        <f t="shared" si="0"/>
        <v>1405.98</v>
      </c>
      <c r="AW15" s="599">
        <f t="shared" si="1"/>
        <v>1604</v>
      </c>
      <c r="AX15" s="181">
        <v>574.57000000000005</v>
      </c>
      <c r="AY15" s="337">
        <v>781</v>
      </c>
      <c r="AZ15" s="174">
        <f t="shared" si="2"/>
        <v>1980.5500000000002</v>
      </c>
      <c r="BA15" s="600">
        <f t="shared" si="3"/>
        <v>2385</v>
      </c>
    </row>
    <row r="16" spans="1:53" x14ac:dyDescent="0.3">
      <c r="A16" s="173" t="s">
        <v>85</v>
      </c>
      <c r="B16" s="174"/>
      <c r="C16" s="175"/>
      <c r="D16" s="176">
        <v>1.05</v>
      </c>
      <c r="E16" s="178">
        <v>1</v>
      </c>
      <c r="F16" s="177"/>
      <c r="G16" s="337"/>
      <c r="H16" s="181"/>
      <c r="I16" s="178"/>
      <c r="J16" s="176"/>
      <c r="K16" s="178"/>
      <c r="L16" s="177"/>
      <c r="M16" s="178"/>
      <c r="N16" s="177"/>
      <c r="O16" s="178"/>
      <c r="P16" s="177"/>
      <c r="Q16" s="178"/>
      <c r="R16" s="177"/>
      <c r="S16" s="178"/>
      <c r="T16" s="177"/>
      <c r="U16" s="337"/>
      <c r="V16" s="181"/>
      <c r="W16" s="178"/>
      <c r="X16" s="176"/>
      <c r="Y16" s="337"/>
      <c r="Z16" s="339"/>
      <c r="AA16" s="536"/>
      <c r="AB16" s="176"/>
      <c r="AC16" s="178"/>
      <c r="AD16" s="177"/>
      <c r="AE16" s="178"/>
      <c r="AF16" s="177"/>
      <c r="AG16" s="178"/>
      <c r="AH16" s="177"/>
      <c r="AI16" s="337"/>
      <c r="AJ16" s="181"/>
      <c r="AK16" s="337"/>
      <c r="AL16" s="853"/>
      <c r="AM16" s="853"/>
      <c r="AN16" s="850"/>
      <c r="AO16" s="846"/>
      <c r="AP16" s="596"/>
      <c r="AQ16" s="842"/>
      <c r="AR16" s="180"/>
      <c r="AS16" s="492"/>
      <c r="AT16" s="181"/>
      <c r="AU16" s="337"/>
      <c r="AV16" s="182">
        <f t="shared" si="0"/>
        <v>1.05</v>
      </c>
      <c r="AW16" s="493">
        <f t="shared" si="1"/>
        <v>1</v>
      </c>
      <c r="AX16" s="181"/>
      <c r="AY16" s="337"/>
      <c r="AZ16" s="182">
        <f t="shared" si="2"/>
        <v>1.05</v>
      </c>
      <c r="BA16" s="836">
        <f t="shared" si="3"/>
        <v>1</v>
      </c>
    </row>
    <row r="17" spans="1:53" x14ac:dyDescent="0.3">
      <c r="A17" s="173" t="s">
        <v>86</v>
      </c>
      <c r="B17" s="174"/>
      <c r="C17" s="175"/>
      <c r="D17" s="176"/>
      <c r="E17" s="178"/>
      <c r="F17" s="177"/>
      <c r="G17" s="337"/>
      <c r="H17" s="181">
        <v>4</v>
      </c>
      <c r="I17" s="178">
        <v>5</v>
      </c>
      <c r="J17" s="176">
        <v>19.329999999999998</v>
      </c>
      <c r="K17" s="178">
        <v>5</v>
      </c>
      <c r="L17" s="177">
        <v>3.5</v>
      </c>
      <c r="M17" s="178">
        <v>4</v>
      </c>
      <c r="N17" s="177">
        <v>3.5</v>
      </c>
      <c r="O17" s="178">
        <v>4</v>
      </c>
      <c r="P17" s="177"/>
      <c r="Q17" s="178"/>
      <c r="R17" s="177">
        <v>1.5</v>
      </c>
      <c r="S17" s="178">
        <v>2</v>
      </c>
      <c r="T17" s="177"/>
      <c r="U17" s="337"/>
      <c r="V17" s="181">
        <v>1.56</v>
      </c>
      <c r="W17" s="178">
        <v>1</v>
      </c>
      <c r="X17" s="176"/>
      <c r="Y17" s="337"/>
      <c r="Z17" s="339"/>
      <c r="AA17" s="536"/>
      <c r="AB17" s="176"/>
      <c r="AC17" s="178"/>
      <c r="AD17" s="177"/>
      <c r="AE17" s="178"/>
      <c r="AF17" s="177">
        <v>4</v>
      </c>
      <c r="AG17" s="178">
        <v>3</v>
      </c>
      <c r="AH17" s="177"/>
      <c r="AI17" s="337"/>
      <c r="AJ17" s="181"/>
      <c r="AK17" s="337"/>
      <c r="AL17" s="853"/>
      <c r="AM17" s="853"/>
      <c r="AN17" s="181"/>
      <c r="AO17" s="337"/>
      <c r="AP17" s="596"/>
      <c r="AQ17" s="842">
        <v>1</v>
      </c>
      <c r="AR17" s="180"/>
      <c r="AS17" s="492"/>
      <c r="AT17" s="181"/>
      <c r="AU17" s="337"/>
      <c r="AV17" s="182">
        <f t="shared" si="0"/>
        <v>37.39</v>
      </c>
      <c r="AW17" s="493">
        <f t="shared" si="1"/>
        <v>25</v>
      </c>
      <c r="AX17" s="181">
        <v>1.1399999999999999</v>
      </c>
      <c r="AY17" s="337">
        <v>1.62</v>
      </c>
      <c r="AZ17" s="182">
        <f t="shared" si="2"/>
        <v>38.53</v>
      </c>
      <c r="BA17" s="836">
        <f t="shared" si="3"/>
        <v>26.62</v>
      </c>
    </row>
    <row r="18" spans="1:53" x14ac:dyDescent="0.3">
      <c r="A18" s="173" t="s">
        <v>87</v>
      </c>
      <c r="B18" s="174"/>
      <c r="C18" s="175"/>
      <c r="D18" s="176"/>
      <c r="E18" s="178"/>
      <c r="F18" s="177"/>
      <c r="G18" s="337"/>
      <c r="H18" s="181"/>
      <c r="I18" s="178"/>
      <c r="J18" s="176"/>
      <c r="K18" s="178"/>
      <c r="L18" s="177"/>
      <c r="M18" s="178"/>
      <c r="N18" s="177"/>
      <c r="O18" s="178"/>
      <c r="P18" s="177"/>
      <c r="Q18" s="178"/>
      <c r="R18" s="177"/>
      <c r="S18" s="178"/>
      <c r="T18" s="177"/>
      <c r="U18" s="337"/>
      <c r="V18" s="181"/>
      <c r="W18" s="178"/>
      <c r="X18" s="176"/>
      <c r="Y18" s="337"/>
      <c r="Z18" s="339"/>
      <c r="AA18" s="536"/>
      <c r="AB18" s="176"/>
      <c r="AC18" s="178"/>
      <c r="AD18" s="177"/>
      <c r="AE18" s="178"/>
      <c r="AF18" s="177"/>
      <c r="AG18" s="178"/>
      <c r="AH18" s="177"/>
      <c r="AI18" s="337"/>
      <c r="AJ18" s="181"/>
      <c r="AK18" s="337"/>
      <c r="AL18" s="853"/>
      <c r="AM18" s="853"/>
      <c r="AN18" s="850"/>
      <c r="AO18" s="846"/>
      <c r="AP18" s="596"/>
      <c r="AQ18" s="842"/>
      <c r="AR18" s="180"/>
      <c r="AS18" s="492"/>
      <c r="AT18" s="181"/>
      <c r="AU18" s="337"/>
      <c r="AV18" s="182">
        <f t="shared" si="0"/>
        <v>0</v>
      </c>
      <c r="AW18" s="493">
        <f t="shared" si="1"/>
        <v>0</v>
      </c>
      <c r="AX18" s="181"/>
      <c r="AY18" s="337"/>
      <c r="AZ18" s="182">
        <f t="shared" si="2"/>
        <v>0</v>
      </c>
      <c r="BA18" s="836">
        <f t="shared" si="3"/>
        <v>0</v>
      </c>
    </row>
    <row r="19" spans="1:53" x14ac:dyDescent="0.3">
      <c r="A19" s="173" t="s">
        <v>88</v>
      </c>
      <c r="B19" s="174">
        <v>12</v>
      </c>
      <c r="C19" s="175">
        <v>9</v>
      </c>
      <c r="D19" s="176"/>
      <c r="E19" s="178"/>
      <c r="F19" s="177"/>
      <c r="G19" s="337"/>
      <c r="H19" s="181"/>
      <c r="I19" s="178"/>
      <c r="J19" s="176"/>
      <c r="K19" s="178"/>
      <c r="L19" s="177"/>
      <c r="M19" s="178"/>
      <c r="N19" s="177"/>
      <c r="O19" s="178"/>
      <c r="P19" s="177"/>
      <c r="Q19" s="178"/>
      <c r="R19" s="177"/>
      <c r="S19" s="178"/>
      <c r="T19" s="177"/>
      <c r="U19" s="337"/>
      <c r="V19" s="181"/>
      <c r="W19" s="178"/>
      <c r="X19" s="176"/>
      <c r="Y19" s="337"/>
      <c r="Z19" s="339"/>
      <c r="AA19" s="536"/>
      <c r="AB19" s="176"/>
      <c r="AC19" s="178"/>
      <c r="AD19" s="177"/>
      <c r="AE19" s="178"/>
      <c r="AF19" s="177"/>
      <c r="AG19" s="178"/>
      <c r="AH19" s="177"/>
      <c r="AI19" s="337"/>
      <c r="AJ19" s="181"/>
      <c r="AK19" s="337"/>
      <c r="AL19" s="853"/>
      <c r="AM19" s="853"/>
      <c r="AN19" s="851"/>
      <c r="AO19" s="614"/>
      <c r="AP19" s="596"/>
      <c r="AQ19" s="842"/>
      <c r="AR19" s="180"/>
      <c r="AS19" s="492"/>
      <c r="AT19" s="181"/>
      <c r="AU19" s="337"/>
      <c r="AV19" s="182">
        <f t="shared" si="0"/>
        <v>12</v>
      </c>
      <c r="AW19" s="493">
        <f t="shared" si="1"/>
        <v>9</v>
      </c>
      <c r="AX19" s="181"/>
      <c r="AY19" s="337"/>
      <c r="AZ19" s="182">
        <f t="shared" si="2"/>
        <v>12</v>
      </c>
      <c r="BA19" s="836">
        <f t="shared" si="3"/>
        <v>9</v>
      </c>
    </row>
    <row r="20" spans="1:53" x14ac:dyDescent="0.3">
      <c r="A20" s="173" t="s">
        <v>89</v>
      </c>
      <c r="B20" s="174"/>
      <c r="C20" s="175"/>
      <c r="D20" s="176">
        <v>1.1299999999999999</v>
      </c>
      <c r="E20" s="178">
        <v>1</v>
      </c>
      <c r="F20" s="177">
        <v>6.8</v>
      </c>
      <c r="G20" s="337">
        <v>7</v>
      </c>
      <c r="H20" s="181">
        <v>22.1</v>
      </c>
      <c r="I20" s="178">
        <v>23</v>
      </c>
      <c r="J20" s="176"/>
      <c r="K20" s="178"/>
      <c r="L20" s="177">
        <v>12</v>
      </c>
      <c r="M20" s="178">
        <v>13</v>
      </c>
      <c r="N20" s="177">
        <v>22.48</v>
      </c>
      <c r="O20" s="178">
        <v>19</v>
      </c>
      <c r="P20" s="177">
        <v>7.13</v>
      </c>
      <c r="Q20" s="178">
        <v>5</v>
      </c>
      <c r="R20" s="177">
        <v>17.350000000000001</v>
      </c>
      <c r="S20" s="178">
        <v>21</v>
      </c>
      <c r="T20" s="177">
        <v>19.690000000000001</v>
      </c>
      <c r="U20" s="337">
        <v>1</v>
      </c>
      <c r="V20" s="181">
        <v>8.35</v>
      </c>
      <c r="W20" s="178">
        <v>24</v>
      </c>
      <c r="X20" s="176"/>
      <c r="Y20" s="337"/>
      <c r="Z20" s="339">
        <v>10.5</v>
      </c>
      <c r="AA20" s="536">
        <v>2</v>
      </c>
      <c r="AB20" s="176">
        <v>3.5</v>
      </c>
      <c r="AC20" s="178">
        <v>8</v>
      </c>
      <c r="AD20" s="377">
        <v>12.7</v>
      </c>
      <c r="AE20" s="615">
        <v>12</v>
      </c>
      <c r="AF20" s="177">
        <v>45</v>
      </c>
      <c r="AG20" s="178">
        <v>62</v>
      </c>
      <c r="AH20" s="183">
        <v>3</v>
      </c>
      <c r="AI20" s="337">
        <v>3</v>
      </c>
      <c r="AJ20" s="181">
        <v>19.850000000000001</v>
      </c>
      <c r="AK20" s="337">
        <v>22</v>
      </c>
      <c r="AL20" s="853"/>
      <c r="AM20" s="853"/>
      <c r="AN20" s="850">
        <v>19.32</v>
      </c>
      <c r="AO20" s="846">
        <v>21</v>
      </c>
      <c r="AP20" s="596"/>
      <c r="AQ20" s="842"/>
      <c r="AR20" s="180"/>
      <c r="AS20" s="492"/>
      <c r="AT20" s="181">
        <v>2.85</v>
      </c>
      <c r="AU20" s="337">
        <v>5</v>
      </c>
      <c r="AV20" s="174">
        <f t="shared" si="0"/>
        <v>233.74999999999997</v>
      </c>
      <c r="AW20" s="599">
        <f t="shared" si="1"/>
        <v>249</v>
      </c>
      <c r="AX20" s="181"/>
      <c r="AY20" s="337"/>
      <c r="AZ20" s="174">
        <f t="shared" si="2"/>
        <v>233.74999999999997</v>
      </c>
      <c r="BA20" s="600">
        <f t="shared" si="3"/>
        <v>249</v>
      </c>
    </row>
    <row r="21" spans="1:53" ht="17.25" x14ac:dyDescent="0.35">
      <c r="A21" s="173" t="s">
        <v>90</v>
      </c>
      <c r="B21" s="174"/>
      <c r="C21" s="175"/>
      <c r="D21" s="176"/>
      <c r="E21" s="178"/>
      <c r="F21" s="177"/>
      <c r="G21" s="337"/>
      <c r="H21" s="181">
        <v>1.03</v>
      </c>
      <c r="I21" s="178">
        <v>2</v>
      </c>
      <c r="J21" s="176"/>
      <c r="K21" s="178"/>
      <c r="L21" s="177"/>
      <c r="M21" s="178"/>
      <c r="N21" s="177">
        <v>0.43</v>
      </c>
      <c r="O21" s="178">
        <v>3</v>
      </c>
      <c r="P21" s="177">
        <v>2</v>
      </c>
      <c r="Q21" s="178">
        <v>2</v>
      </c>
      <c r="R21" s="177">
        <v>3.22</v>
      </c>
      <c r="S21" s="178">
        <v>3</v>
      </c>
      <c r="T21" s="177"/>
      <c r="U21" s="337"/>
      <c r="V21" s="181"/>
      <c r="W21" s="178"/>
      <c r="X21" s="176"/>
      <c r="Y21" s="337"/>
      <c r="Z21" s="339"/>
      <c r="AA21" s="536"/>
      <c r="AB21" s="176"/>
      <c r="AC21" s="178"/>
      <c r="AD21" s="177"/>
      <c r="AE21" s="178"/>
      <c r="AF21" s="177">
        <v>13.54</v>
      </c>
      <c r="AG21" s="178">
        <v>16</v>
      </c>
      <c r="AH21" s="184"/>
      <c r="AI21" s="337"/>
      <c r="AJ21" s="181"/>
      <c r="AK21" s="337"/>
      <c r="AL21" s="853"/>
      <c r="AM21" s="853"/>
      <c r="AN21" s="181">
        <v>0.25</v>
      </c>
      <c r="AO21" s="337"/>
      <c r="AP21" s="596"/>
      <c r="AQ21" s="842"/>
      <c r="AR21" s="180"/>
      <c r="AS21" s="492"/>
      <c r="AT21" s="181">
        <v>0.81</v>
      </c>
      <c r="AU21" s="337">
        <v>1</v>
      </c>
      <c r="AV21" s="182">
        <f t="shared" si="0"/>
        <v>21.279999999999998</v>
      </c>
      <c r="AW21" s="493">
        <f t="shared" si="1"/>
        <v>27</v>
      </c>
      <c r="AX21" s="180"/>
      <c r="AY21" s="492"/>
      <c r="AZ21" s="182">
        <f t="shared" si="2"/>
        <v>21.279999999999998</v>
      </c>
      <c r="BA21" s="836">
        <f t="shared" si="3"/>
        <v>27</v>
      </c>
    </row>
    <row r="22" spans="1:53" x14ac:dyDescent="0.3">
      <c r="A22" s="173" t="s">
        <v>91</v>
      </c>
      <c r="B22" s="174">
        <v>28386.04</v>
      </c>
      <c r="C22" s="175">
        <v>37693</v>
      </c>
      <c r="D22" s="176">
        <v>1175.8499999999999</v>
      </c>
      <c r="E22" s="178">
        <v>466</v>
      </c>
      <c r="F22" s="177">
        <v>1505</v>
      </c>
      <c r="G22" s="337">
        <v>1811</v>
      </c>
      <c r="H22" s="181">
        <v>21003.37</v>
      </c>
      <c r="I22" s="178">
        <v>35634</v>
      </c>
      <c r="J22" s="176">
        <v>17482.96</v>
      </c>
      <c r="K22" s="178">
        <v>18871</v>
      </c>
      <c r="L22" s="177">
        <v>2527</v>
      </c>
      <c r="M22" s="178">
        <v>3483</v>
      </c>
      <c r="N22" s="177">
        <v>76.650000000000006</v>
      </c>
      <c r="O22" s="178">
        <v>229</v>
      </c>
      <c r="P22" s="177">
        <v>5064.4799999999996</v>
      </c>
      <c r="Q22" s="178">
        <v>5370</v>
      </c>
      <c r="R22" s="177">
        <v>1826</v>
      </c>
      <c r="S22" s="178">
        <v>1091</v>
      </c>
      <c r="T22" s="177">
        <v>175</v>
      </c>
      <c r="U22" s="337">
        <v>198</v>
      </c>
      <c r="V22" s="181">
        <v>141010.98000000001</v>
      </c>
      <c r="W22" s="178">
        <v>188386</v>
      </c>
      <c r="X22" s="176">
        <v>91428.19</v>
      </c>
      <c r="Y22" s="337">
        <v>122641</v>
      </c>
      <c r="Z22" s="339">
        <v>2058.5</v>
      </c>
      <c r="AA22" s="536">
        <v>2147</v>
      </c>
      <c r="AB22" s="176">
        <v>11608.34</v>
      </c>
      <c r="AC22" s="178">
        <v>1515</v>
      </c>
      <c r="AD22" s="177">
        <v>8704</v>
      </c>
      <c r="AE22" s="178">
        <v>10102</v>
      </c>
      <c r="AF22" s="177">
        <v>35346.92</v>
      </c>
      <c r="AG22" s="178">
        <v>58834</v>
      </c>
      <c r="AH22" s="177">
        <v>8067</v>
      </c>
      <c r="AI22" s="337">
        <v>11343</v>
      </c>
      <c r="AJ22" s="181">
        <v>6998.61</v>
      </c>
      <c r="AK22" s="337">
        <v>6621</v>
      </c>
      <c r="AL22" s="853"/>
      <c r="AM22" s="853"/>
      <c r="AN22" s="850">
        <v>2121.61</v>
      </c>
      <c r="AO22" s="846">
        <v>9606</v>
      </c>
      <c r="AP22" s="596">
        <v>2377.38</v>
      </c>
      <c r="AQ22" s="842">
        <v>4.45</v>
      </c>
      <c r="AR22" s="180">
        <v>1859.17</v>
      </c>
      <c r="AS22" s="492">
        <v>2657</v>
      </c>
      <c r="AT22" s="181">
        <v>43195.26</v>
      </c>
      <c r="AU22" s="337">
        <v>92834</v>
      </c>
      <c r="AV22" s="182">
        <f t="shared" si="0"/>
        <v>433998.31</v>
      </c>
      <c r="AW22" s="493">
        <f t="shared" si="1"/>
        <v>611536.44999999995</v>
      </c>
      <c r="AX22" s="180">
        <v>47895.67</v>
      </c>
      <c r="AY22" s="492">
        <v>74514</v>
      </c>
      <c r="AZ22" s="182">
        <f t="shared" si="2"/>
        <v>481893.98</v>
      </c>
      <c r="BA22" s="836">
        <f t="shared" si="3"/>
        <v>686050.45</v>
      </c>
    </row>
    <row r="23" spans="1:53" x14ac:dyDescent="0.3">
      <c r="A23" s="173" t="s">
        <v>92</v>
      </c>
      <c r="B23" s="174">
        <v>1177.06</v>
      </c>
      <c r="C23" s="175">
        <v>1323</v>
      </c>
      <c r="D23" s="176">
        <v>274.27999999999997</v>
      </c>
      <c r="E23" s="178">
        <v>230</v>
      </c>
      <c r="F23" s="177">
        <v>164.95</v>
      </c>
      <c r="G23" s="337">
        <v>159</v>
      </c>
      <c r="H23" s="181">
        <v>750.47</v>
      </c>
      <c r="I23" s="178">
        <v>868</v>
      </c>
      <c r="J23" s="176">
        <v>469.68</v>
      </c>
      <c r="K23" s="178">
        <v>379</v>
      </c>
      <c r="L23" s="177">
        <v>610</v>
      </c>
      <c r="M23" s="178">
        <v>741</v>
      </c>
      <c r="N23" s="177">
        <v>178.53</v>
      </c>
      <c r="O23" s="178">
        <v>175</v>
      </c>
      <c r="P23" s="177">
        <v>278.83</v>
      </c>
      <c r="Q23" s="178">
        <v>282</v>
      </c>
      <c r="R23" s="177">
        <v>661</v>
      </c>
      <c r="S23" s="178">
        <v>688</v>
      </c>
      <c r="T23" s="177">
        <v>218.66</v>
      </c>
      <c r="U23" s="337">
        <v>196</v>
      </c>
      <c r="V23" s="181">
        <v>1841.15</v>
      </c>
      <c r="W23" s="178">
        <v>2304</v>
      </c>
      <c r="X23" s="176">
        <v>2282.21</v>
      </c>
      <c r="Y23" s="337">
        <v>3172</v>
      </c>
      <c r="Z23" s="339">
        <v>229.55</v>
      </c>
      <c r="AA23" s="536">
        <v>232</v>
      </c>
      <c r="AB23" s="176">
        <v>252.57</v>
      </c>
      <c r="AC23" s="178">
        <v>299</v>
      </c>
      <c r="AD23" s="177">
        <v>845.08</v>
      </c>
      <c r="AE23" s="178">
        <v>1069</v>
      </c>
      <c r="AF23" s="377">
        <v>1851.4</v>
      </c>
      <c r="AG23" s="178">
        <v>2183</v>
      </c>
      <c r="AH23" s="177">
        <v>581</v>
      </c>
      <c r="AI23" s="337">
        <v>737</v>
      </c>
      <c r="AJ23" s="181">
        <v>693.29</v>
      </c>
      <c r="AK23" s="337">
        <v>718</v>
      </c>
      <c r="AL23" s="853"/>
      <c r="AM23" s="853"/>
      <c r="AN23" s="850">
        <v>831.9</v>
      </c>
      <c r="AO23" s="846">
        <v>1001</v>
      </c>
      <c r="AP23" s="596">
        <v>87.66</v>
      </c>
      <c r="AQ23" s="842">
        <v>91</v>
      </c>
      <c r="AR23" s="180">
        <v>32.17</v>
      </c>
      <c r="AS23" s="492">
        <v>34</v>
      </c>
      <c r="AT23" s="181">
        <v>1528.16</v>
      </c>
      <c r="AU23" s="337">
        <v>1972</v>
      </c>
      <c r="AV23" s="182">
        <f t="shared" si="0"/>
        <v>15839.599999999999</v>
      </c>
      <c r="AW23" s="493">
        <f t="shared" si="1"/>
        <v>18853</v>
      </c>
      <c r="AX23" s="180">
        <v>11248.9</v>
      </c>
      <c r="AY23" s="492">
        <v>8530</v>
      </c>
      <c r="AZ23" s="182">
        <f t="shared" si="2"/>
        <v>27088.5</v>
      </c>
      <c r="BA23" s="836">
        <f t="shared" si="3"/>
        <v>27383</v>
      </c>
    </row>
    <row r="24" spans="1:53" x14ac:dyDescent="0.3">
      <c r="A24" s="173" t="s">
        <v>93</v>
      </c>
      <c r="B24" s="174">
        <v>11.48</v>
      </c>
      <c r="C24" s="175">
        <v>750</v>
      </c>
      <c r="D24" s="176"/>
      <c r="E24" s="178"/>
      <c r="F24" s="177"/>
      <c r="G24" s="337"/>
      <c r="H24" s="181"/>
      <c r="I24" s="178"/>
      <c r="J24" s="176">
        <v>1281.3399999999999</v>
      </c>
      <c r="K24" s="178">
        <v>4217</v>
      </c>
      <c r="L24" s="177"/>
      <c r="M24" s="178"/>
      <c r="N24" s="177">
        <v>26.25</v>
      </c>
      <c r="O24" s="178">
        <v>39</v>
      </c>
      <c r="P24" s="177"/>
      <c r="Q24" s="178"/>
      <c r="R24" s="177"/>
      <c r="S24" s="178"/>
      <c r="T24" s="177"/>
      <c r="U24" s="337"/>
      <c r="V24" s="181"/>
      <c r="W24" s="178"/>
      <c r="X24" s="176"/>
      <c r="Y24" s="337"/>
      <c r="Z24" s="339"/>
      <c r="AA24" s="536"/>
      <c r="AB24" s="176"/>
      <c r="AC24" s="178"/>
      <c r="AD24" s="177">
        <v>337.52</v>
      </c>
      <c r="AE24" s="178">
        <v>590</v>
      </c>
      <c r="AF24" s="177">
        <v>2260.1999999999998</v>
      </c>
      <c r="AG24" s="178">
        <v>3282</v>
      </c>
      <c r="AH24" s="177"/>
      <c r="AI24" s="337"/>
      <c r="AJ24" s="181"/>
      <c r="AK24" s="337"/>
      <c r="AL24" s="853"/>
      <c r="AM24" s="853"/>
      <c r="AN24" s="850">
        <v>87.45</v>
      </c>
      <c r="AO24" s="846">
        <v>212</v>
      </c>
      <c r="AP24" s="596"/>
      <c r="AQ24" s="842"/>
      <c r="AR24" s="180"/>
      <c r="AS24" s="492"/>
      <c r="AT24" s="181"/>
      <c r="AU24" s="337"/>
      <c r="AV24" s="182">
        <f t="shared" si="0"/>
        <v>4004.24</v>
      </c>
      <c r="AW24" s="493">
        <f t="shared" si="1"/>
        <v>9090</v>
      </c>
      <c r="AX24" s="180"/>
      <c r="AY24" s="492"/>
      <c r="AZ24" s="182">
        <f t="shared" si="2"/>
        <v>4004.24</v>
      </c>
      <c r="BA24" s="836">
        <f t="shared" si="3"/>
        <v>9090</v>
      </c>
    </row>
    <row r="25" spans="1:53" x14ac:dyDescent="0.3">
      <c r="A25" s="173" t="s">
        <v>94</v>
      </c>
      <c r="B25" s="174">
        <v>7150.63</v>
      </c>
      <c r="C25" s="175">
        <v>7945</v>
      </c>
      <c r="D25" s="176">
        <v>2687.82</v>
      </c>
      <c r="E25" s="178">
        <v>3348</v>
      </c>
      <c r="F25" s="177">
        <v>3436.21</v>
      </c>
      <c r="G25" s="337">
        <v>626</v>
      </c>
      <c r="H25" s="181">
        <v>7598.7</v>
      </c>
      <c r="I25" s="178">
        <v>9169</v>
      </c>
      <c r="J25" s="176">
        <v>5952.4</v>
      </c>
      <c r="K25" s="178">
        <v>7472</v>
      </c>
      <c r="L25" s="177">
        <v>4367.92</v>
      </c>
      <c r="M25" s="178">
        <v>4980</v>
      </c>
      <c r="N25" s="177">
        <v>1211.8900000000001</v>
      </c>
      <c r="O25" s="178">
        <v>1514</v>
      </c>
      <c r="P25" s="177">
        <v>2485.1999999999998</v>
      </c>
      <c r="Q25" s="178">
        <v>2586</v>
      </c>
      <c r="R25" s="177">
        <v>2341</v>
      </c>
      <c r="S25" s="178">
        <v>3001</v>
      </c>
      <c r="T25" s="177">
        <v>1319.79</v>
      </c>
      <c r="U25" s="337">
        <v>1670</v>
      </c>
      <c r="V25" s="181">
        <v>13924.42</v>
      </c>
      <c r="W25" s="178">
        <v>16501</v>
      </c>
      <c r="X25" s="176">
        <v>8724</v>
      </c>
      <c r="Y25" s="337"/>
      <c r="Z25" s="339">
        <v>1700.2</v>
      </c>
      <c r="AA25" s="536">
        <v>2033</v>
      </c>
      <c r="AB25" s="176">
        <v>5186.87</v>
      </c>
      <c r="AC25" s="178">
        <v>5636</v>
      </c>
      <c r="AD25" s="377">
        <v>3799.57</v>
      </c>
      <c r="AE25" s="615">
        <v>4528</v>
      </c>
      <c r="AF25" s="177">
        <v>6719.47</v>
      </c>
      <c r="AG25" s="178">
        <v>7908</v>
      </c>
      <c r="AH25" s="177">
        <v>6880</v>
      </c>
      <c r="AI25" s="337">
        <v>7335</v>
      </c>
      <c r="AJ25" s="181">
        <f>3057.94+859.07</f>
        <v>3917.01</v>
      </c>
      <c r="AK25" s="337">
        <v>3229</v>
      </c>
      <c r="AL25" s="853"/>
      <c r="AM25" s="853"/>
      <c r="AN25" s="850">
        <v>10428.91</v>
      </c>
      <c r="AO25" s="846">
        <v>11902</v>
      </c>
      <c r="AP25" s="596">
        <v>1175.97</v>
      </c>
      <c r="AQ25" s="842">
        <v>1466</v>
      </c>
      <c r="AR25" s="180">
        <v>1782.56</v>
      </c>
      <c r="AS25" s="492">
        <v>1941</v>
      </c>
      <c r="AT25" s="181">
        <v>5923.75</v>
      </c>
      <c r="AU25" s="337">
        <v>9627</v>
      </c>
      <c r="AV25" s="174">
        <f t="shared" si="0"/>
        <v>108714.29</v>
      </c>
      <c r="AW25" s="599">
        <f t="shared" si="1"/>
        <v>114417</v>
      </c>
      <c r="AX25" s="181"/>
      <c r="AY25" s="337"/>
      <c r="AZ25" s="174">
        <f t="shared" si="2"/>
        <v>108714.29</v>
      </c>
      <c r="BA25" s="600">
        <f t="shared" si="3"/>
        <v>114417</v>
      </c>
    </row>
    <row r="26" spans="1:53" x14ac:dyDescent="0.3">
      <c r="A26" s="173" t="s">
        <v>95</v>
      </c>
      <c r="B26" s="174"/>
      <c r="C26" s="175"/>
      <c r="D26" s="176">
        <v>2.4</v>
      </c>
      <c r="E26" s="178">
        <v>14</v>
      </c>
      <c r="F26" s="177">
        <v>135.97</v>
      </c>
      <c r="G26" s="337">
        <v>132</v>
      </c>
      <c r="H26" s="181"/>
      <c r="I26" s="178">
        <v>3208</v>
      </c>
      <c r="J26" s="176"/>
      <c r="K26" s="178"/>
      <c r="L26" s="177">
        <v>443</v>
      </c>
      <c r="M26" s="178">
        <v>295</v>
      </c>
      <c r="N26" s="177"/>
      <c r="O26" s="178">
        <v>137</v>
      </c>
      <c r="P26" s="177">
        <v>267.08</v>
      </c>
      <c r="Q26" s="178">
        <v>277</v>
      </c>
      <c r="R26" s="177">
        <v>1792.86</v>
      </c>
      <c r="S26" s="178">
        <v>802</v>
      </c>
      <c r="T26" s="177">
        <v>64.930000000000007</v>
      </c>
      <c r="U26" s="337">
        <v>15</v>
      </c>
      <c r="V26" s="181">
        <v>884.1</v>
      </c>
      <c r="W26" s="178">
        <v>1474</v>
      </c>
      <c r="X26" s="176">
        <v>627.65</v>
      </c>
      <c r="Y26" s="337">
        <v>1056</v>
      </c>
      <c r="Z26" s="339"/>
      <c r="AA26" s="536"/>
      <c r="AB26" s="176"/>
      <c r="AC26" s="178"/>
      <c r="AD26" s="177">
        <v>640.11</v>
      </c>
      <c r="AE26" s="178">
        <v>1087</v>
      </c>
      <c r="AF26" s="179">
        <f>1160.77+593.02+16.08</f>
        <v>1769.87</v>
      </c>
      <c r="AG26" s="178">
        <v>862</v>
      </c>
      <c r="AH26" s="177">
        <v>392</v>
      </c>
      <c r="AI26" s="337">
        <v>467</v>
      </c>
      <c r="AJ26" s="181"/>
      <c r="AK26" s="337"/>
      <c r="AL26" s="853"/>
      <c r="AM26" s="853"/>
      <c r="AN26" s="850">
        <v>1941.88</v>
      </c>
      <c r="AO26" s="846">
        <v>2288</v>
      </c>
      <c r="AP26" s="596">
        <v>20.09</v>
      </c>
      <c r="AQ26" s="842">
        <v>115</v>
      </c>
      <c r="AR26" s="180">
        <v>503.58</v>
      </c>
      <c r="AS26" s="492">
        <v>242</v>
      </c>
      <c r="AT26" s="181"/>
      <c r="AU26" s="337"/>
      <c r="AV26" s="182">
        <f t="shared" si="0"/>
        <v>9485.5199999999986</v>
      </c>
      <c r="AW26" s="493">
        <f t="shared" si="1"/>
        <v>12471</v>
      </c>
      <c r="AX26" s="180">
        <v>292253.14</v>
      </c>
      <c r="AY26" s="492">
        <v>277432</v>
      </c>
      <c r="AZ26" s="182">
        <f t="shared" si="2"/>
        <v>301738.66000000003</v>
      </c>
      <c r="BA26" s="836">
        <f t="shared" si="3"/>
        <v>289903</v>
      </c>
    </row>
    <row r="27" spans="1:53" x14ac:dyDescent="0.3">
      <c r="A27" s="173" t="s">
        <v>96</v>
      </c>
      <c r="B27" s="174">
        <v>2708.49</v>
      </c>
      <c r="C27" s="175">
        <v>2845</v>
      </c>
      <c r="D27" s="176">
        <v>662.21</v>
      </c>
      <c r="E27" s="178">
        <v>275</v>
      </c>
      <c r="F27" s="177">
        <v>391</v>
      </c>
      <c r="G27" s="337">
        <v>315</v>
      </c>
      <c r="H27" s="181">
        <v>3967.9</v>
      </c>
      <c r="I27" s="178">
        <v>6362</v>
      </c>
      <c r="J27" s="176">
        <v>715.73</v>
      </c>
      <c r="K27" s="178">
        <v>426</v>
      </c>
      <c r="L27" s="177">
        <v>2062</v>
      </c>
      <c r="M27" s="178">
        <v>1295</v>
      </c>
      <c r="N27" s="177">
        <v>469.44</v>
      </c>
      <c r="O27" s="178">
        <v>605</v>
      </c>
      <c r="P27" s="177">
        <v>359.52</v>
      </c>
      <c r="Q27" s="178">
        <v>343</v>
      </c>
      <c r="R27" s="177">
        <v>1027</v>
      </c>
      <c r="S27" s="178">
        <v>954</v>
      </c>
      <c r="T27" s="177">
        <v>434</v>
      </c>
      <c r="U27" s="337">
        <v>406</v>
      </c>
      <c r="V27" s="181">
        <v>9860.49</v>
      </c>
      <c r="W27" s="178">
        <v>11449</v>
      </c>
      <c r="X27" s="176"/>
      <c r="Y27" s="337">
        <v>10666</v>
      </c>
      <c r="Z27" s="339">
        <v>178.72</v>
      </c>
      <c r="AA27" s="536">
        <v>258</v>
      </c>
      <c r="AB27" s="176">
        <v>1558.85</v>
      </c>
      <c r="AC27" s="178">
        <v>2412</v>
      </c>
      <c r="AD27" s="177">
        <v>4744.8599999999997</v>
      </c>
      <c r="AE27" s="178">
        <v>4688</v>
      </c>
      <c r="AF27" s="179">
        <v>9679.52</v>
      </c>
      <c r="AG27" s="178">
        <v>6301</v>
      </c>
      <c r="AH27" s="177">
        <v>3413</v>
      </c>
      <c r="AI27" s="337">
        <v>4302</v>
      </c>
      <c r="AJ27" s="181">
        <v>333.9</v>
      </c>
      <c r="AK27" s="337">
        <v>346</v>
      </c>
      <c r="AL27" s="853"/>
      <c r="AM27" s="853"/>
      <c r="AN27" s="850">
        <v>10737.65</v>
      </c>
      <c r="AO27" s="846">
        <v>11953</v>
      </c>
      <c r="AP27" s="596"/>
      <c r="AQ27" s="842">
        <v>681</v>
      </c>
      <c r="AR27" s="180">
        <v>1961.82</v>
      </c>
      <c r="AS27" s="492">
        <v>1642</v>
      </c>
      <c r="AT27" s="181">
        <v>6024.23</v>
      </c>
      <c r="AU27" s="337">
        <v>6299</v>
      </c>
      <c r="AV27" s="182">
        <f t="shared" si="0"/>
        <v>61290.33</v>
      </c>
      <c r="AW27" s="493">
        <f t="shared" si="1"/>
        <v>74823</v>
      </c>
      <c r="AX27" s="180">
        <v>18724.12</v>
      </c>
      <c r="AY27" s="492">
        <v>29920</v>
      </c>
      <c r="AZ27" s="182">
        <f t="shared" si="2"/>
        <v>80014.45</v>
      </c>
      <c r="BA27" s="836">
        <f t="shared" si="3"/>
        <v>104743</v>
      </c>
    </row>
    <row r="28" spans="1:53" x14ac:dyDescent="0.3">
      <c r="A28" s="173" t="s">
        <v>97</v>
      </c>
      <c r="B28" s="174">
        <v>3426.32</v>
      </c>
      <c r="C28" s="175">
        <v>3440</v>
      </c>
      <c r="D28" s="176">
        <v>2943.86</v>
      </c>
      <c r="E28" s="178">
        <v>3403</v>
      </c>
      <c r="F28" s="177">
        <v>842.41</v>
      </c>
      <c r="G28" s="337">
        <v>801</v>
      </c>
      <c r="H28" s="181">
        <v>3916.6</v>
      </c>
      <c r="I28" s="178">
        <v>4139</v>
      </c>
      <c r="J28" s="176">
        <v>1090.0999999999999</v>
      </c>
      <c r="K28" s="178">
        <v>874</v>
      </c>
      <c r="L28" s="177">
        <v>1299.25</v>
      </c>
      <c r="M28" s="178">
        <v>1655</v>
      </c>
      <c r="N28" s="177">
        <v>1655.65</v>
      </c>
      <c r="O28" s="178">
        <v>1332</v>
      </c>
      <c r="P28" s="177">
        <v>3021.37</v>
      </c>
      <c r="Q28" s="178">
        <v>3302</v>
      </c>
      <c r="R28" s="177">
        <v>1384.16</v>
      </c>
      <c r="S28" s="178">
        <v>1487</v>
      </c>
      <c r="T28" s="177">
        <v>2490.88</v>
      </c>
      <c r="U28" s="337">
        <v>2298</v>
      </c>
      <c r="V28" s="181">
        <v>5061.17</v>
      </c>
      <c r="W28" s="178">
        <v>5238</v>
      </c>
      <c r="X28" s="176">
        <v>5979.4</v>
      </c>
      <c r="Y28" s="337">
        <v>6690</v>
      </c>
      <c r="Z28" s="339">
        <v>916</v>
      </c>
      <c r="AA28" s="536">
        <v>780</v>
      </c>
      <c r="AB28" s="176">
        <v>2304.17</v>
      </c>
      <c r="AC28" s="178">
        <v>1609.6</v>
      </c>
      <c r="AD28" s="177">
        <v>4249.5600000000004</v>
      </c>
      <c r="AE28" s="178">
        <v>4544</v>
      </c>
      <c r="AF28" s="179">
        <v>8554.09</v>
      </c>
      <c r="AG28" s="178">
        <v>10392</v>
      </c>
      <c r="AH28" s="177">
        <v>4403</v>
      </c>
      <c r="AI28" s="337">
        <v>4252</v>
      </c>
      <c r="AJ28" s="181">
        <v>3249.01</v>
      </c>
      <c r="AK28" s="337">
        <v>3524</v>
      </c>
      <c r="AL28" s="853"/>
      <c r="AM28" s="853"/>
      <c r="AN28" s="850">
        <v>9919.06</v>
      </c>
      <c r="AO28" s="846">
        <v>7476</v>
      </c>
      <c r="AP28" s="596">
        <v>1746.55</v>
      </c>
      <c r="AQ28" s="842">
        <v>1984.82</v>
      </c>
      <c r="AR28" s="180">
        <v>1034.01</v>
      </c>
      <c r="AS28" s="492">
        <v>1197</v>
      </c>
      <c r="AT28" s="181">
        <v>5259.2</v>
      </c>
      <c r="AU28" s="337">
        <v>5743</v>
      </c>
      <c r="AV28" s="182">
        <f t="shared" si="0"/>
        <v>74745.820000000007</v>
      </c>
      <c r="AW28" s="493">
        <f t="shared" si="1"/>
        <v>76161.420000000013</v>
      </c>
      <c r="AX28" s="180">
        <v>41289.870000000003</v>
      </c>
      <c r="AY28" s="492">
        <v>43336</v>
      </c>
      <c r="AZ28" s="182">
        <f t="shared" si="2"/>
        <v>116035.69</v>
      </c>
      <c r="BA28" s="836">
        <f t="shared" si="3"/>
        <v>119497.42000000001</v>
      </c>
    </row>
    <row r="29" spans="1:53" x14ac:dyDescent="0.3">
      <c r="A29" s="173" t="s">
        <v>98</v>
      </c>
      <c r="B29" s="174"/>
      <c r="C29" s="175">
        <v>113</v>
      </c>
      <c r="D29" s="176"/>
      <c r="E29" s="178"/>
      <c r="F29" s="177"/>
      <c r="G29" s="337"/>
      <c r="H29" s="181"/>
      <c r="I29" s="178"/>
      <c r="J29" s="176">
        <v>8.09</v>
      </c>
      <c r="K29" s="178">
        <v>8</v>
      </c>
      <c r="L29" s="177"/>
      <c r="M29" s="178"/>
      <c r="N29" s="177">
        <f>1.85+0.89</f>
        <v>2.74</v>
      </c>
      <c r="O29" s="178">
        <v>39</v>
      </c>
      <c r="P29" s="177"/>
      <c r="Q29" s="178">
        <v>82</v>
      </c>
      <c r="R29" s="177"/>
      <c r="S29" s="178"/>
      <c r="T29" s="177"/>
      <c r="U29" s="337"/>
      <c r="V29" s="181"/>
      <c r="W29" s="178"/>
      <c r="X29" s="176"/>
      <c r="Y29" s="337"/>
      <c r="Z29" s="339"/>
      <c r="AA29" s="536"/>
      <c r="AB29" s="176"/>
      <c r="AC29" s="178"/>
      <c r="AD29" s="177"/>
      <c r="AE29" s="178"/>
      <c r="AF29" s="179"/>
      <c r="AG29" s="178"/>
      <c r="AH29" s="177"/>
      <c r="AI29" s="337"/>
      <c r="AJ29" s="181"/>
      <c r="AK29" s="337"/>
      <c r="AL29" s="853"/>
      <c r="AM29" s="853"/>
      <c r="AN29" s="850"/>
      <c r="AO29" s="846"/>
      <c r="AP29" s="596"/>
      <c r="AQ29" s="842"/>
      <c r="AR29" s="180"/>
      <c r="AS29" s="492"/>
      <c r="AT29" s="181"/>
      <c r="AU29" s="337"/>
      <c r="AV29" s="182">
        <f t="shared" si="0"/>
        <v>10.83</v>
      </c>
      <c r="AW29" s="493">
        <f t="shared" si="1"/>
        <v>242</v>
      </c>
      <c r="AX29" s="180"/>
      <c r="AY29" s="492"/>
      <c r="AZ29" s="182">
        <f t="shared" si="2"/>
        <v>10.83</v>
      </c>
      <c r="BA29" s="836">
        <f t="shared" si="3"/>
        <v>242</v>
      </c>
    </row>
    <row r="30" spans="1:53" x14ac:dyDescent="0.3">
      <c r="A30" s="173" t="s">
        <v>99</v>
      </c>
      <c r="B30" s="174">
        <v>86.49</v>
      </c>
      <c r="C30" s="175">
        <v>201</v>
      </c>
      <c r="D30" s="176"/>
      <c r="E30" s="178"/>
      <c r="F30" s="177"/>
      <c r="G30" s="337"/>
      <c r="H30" s="181"/>
      <c r="I30" s="178"/>
      <c r="J30" s="176"/>
      <c r="K30" s="178"/>
      <c r="L30" s="177"/>
      <c r="M30" s="178"/>
      <c r="N30" s="177"/>
      <c r="O30" s="178"/>
      <c r="P30" s="177"/>
      <c r="Q30" s="178"/>
      <c r="R30" s="177"/>
      <c r="S30" s="178"/>
      <c r="T30" s="177"/>
      <c r="U30" s="337"/>
      <c r="V30" s="181"/>
      <c r="W30" s="178"/>
      <c r="X30" s="176"/>
      <c r="Y30" s="337"/>
      <c r="Z30" s="339"/>
      <c r="AA30" s="536"/>
      <c r="AB30" s="176"/>
      <c r="AC30" s="178"/>
      <c r="AD30" s="177"/>
      <c r="AE30" s="178"/>
      <c r="AF30" s="179"/>
      <c r="AG30" s="178"/>
      <c r="AH30" s="177"/>
      <c r="AI30" s="337"/>
      <c r="AJ30" s="181"/>
      <c r="AK30" s="337"/>
      <c r="AL30" s="853"/>
      <c r="AM30" s="853"/>
      <c r="AN30" s="850"/>
      <c r="AO30" s="846"/>
      <c r="AP30" s="596"/>
      <c r="AQ30" s="842"/>
      <c r="AR30" s="180"/>
      <c r="AS30" s="492"/>
      <c r="AT30" s="181"/>
      <c r="AU30" s="337"/>
      <c r="AV30" s="182">
        <f t="shared" si="0"/>
        <v>86.49</v>
      </c>
      <c r="AW30" s="493">
        <f t="shared" si="1"/>
        <v>201</v>
      </c>
      <c r="AX30" s="180"/>
      <c r="AY30" s="492"/>
      <c r="AZ30" s="182">
        <f t="shared" si="2"/>
        <v>86.49</v>
      </c>
      <c r="BA30" s="836">
        <f t="shared" si="3"/>
        <v>201</v>
      </c>
    </row>
    <row r="31" spans="1:53" x14ac:dyDescent="0.3">
      <c r="A31" s="173" t="s">
        <v>100</v>
      </c>
      <c r="B31" s="174"/>
      <c r="C31" s="175"/>
      <c r="D31" s="176">
        <v>25.63</v>
      </c>
      <c r="E31" s="178">
        <v>29</v>
      </c>
      <c r="F31" s="177">
        <v>767</v>
      </c>
      <c r="G31" s="337">
        <v>417</v>
      </c>
      <c r="H31" s="181">
        <v>5676.36</v>
      </c>
      <c r="I31" s="178">
        <v>7295</v>
      </c>
      <c r="J31" s="176"/>
      <c r="K31" s="178"/>
      <c r="L31" s="177">
        <v>1269</v>
      </c>
      <c r="M31" s="178">
        <v>2417</v>
      </c>
      <c r="N31" s="177">
        <v>53.61</v>
      </c>
      <c r="O31" s="178">
        <v>258</v>
      </c>
      <c r="P31" s="177">
        <v>4615.1400000000003</v>
      </c>
      <c r="Q31" s="178">
        <v>5410</v>
      </c>
      <c r="R31" s="177">
        <v>12959</v>
      </c>
      <c r="S31" s="178">
        <v>17716</v>
      </c>
      <c r="T31" s="177">
        <v>1659</v>
      </c>
      <c r="U31" s="337">
        <v>4858</v>
      </c>
      <c r="V31" s="181">
        <v>66590.3</v>
      </c>
      <c r="W31" s="178">
        <v>60015</v>
      </c>
      <c r="X31" s="176">
        <v>-1535.91</v>
      </c>
      <c r="Y31" s="337">
        <v>11969</v>
      </c>
      <c r="Z31" s="339">
        <v>1390.6</v>
      </c>
      <c r="AA31" s="536">
        <v>859</v>
      </c>
      <c r="AB31" s="176"/>
      <c r="AC31" s="178">
        <v>17819.57</v>
      </c>
      <c r="AD31" s="177">
        <v>7743.44</v>
      </c>
      <c r="AE31" s="178">
        <v>6601</v>
      </c>
      <c r="AF31" s="179"/>
      <c r="AG31" s="178">
        <v>3160</v>
      </c>
      <c r="AH31" s="177">
        <v>2969</v>
      </c>
      <c r="AI31" s="337">
        <v>9710</v>
      </c>
      <c r="AJ31" s="181">
        <v>2808.16</v>
      </c>
      <c r="AK31" s="337">
        <v>2473</v>
      </c>
      <c r="AL31" s="853"/>
      <c r="AM31" s="853"/>
      <c r="AN31" s="850"/>
      <c r="AO31" s="846">
        <v>23114</v>
      </c>
      <c r="AP31" s="596"/>
      <c r="AQ31" s="842">
        <v>3527.24</v>
      </c>
      <c r="AR31" s="180">
        <v>990.25</v>
      </c>
      <c r="AS31" s="492">
        <v>1940</v>
      </c>
      <c r="AT31" s="181">
        <f>1345.08+118.59</f>
        <v>1463.6699999999998</v>
      </c>
      <c r="AU31" s="337">
        <v>9992</v>
      </c>
      <c r="AV31" s="182">
        <f t="shared" si="0"/>
        <v>109444.25000000001</v>
      </c>
      <c r="AW31" s="493">
        <f t="shared" si="1"/>
        <v>189579.81</v>
      </c>
      <c r="AX31" s="180">
        <v>185792.27</v>
      </c>
      <c r="AY31" s="492">
        <v>168576</v>
      </c>
      <c r="AZ31" s="182">
        <f t="shared" si="2"/>
        <v>295236.52</v>
      </c>
      <c r="BA31" s="836">
        <f t="shared" si="3"/>
        <v>358155.81</v>
      </c>
    </row>
    <row r="32" spans="1:53" x14ac:dyDescent="0.3">
      <c r="A32" s="173" t="s">
        <v>101</v>
      </c>
      <c r="B32" s="174"/>
      <c r="C32" s="175"/>
      <c r="D32" s="176">
        <v>577.14</v>
      </c>
      <c r="E32" s="178">
        <v>484</v>
      </c>
      <c r="F32" s="177"/>
      <c r="G32" s="337"/>
      <c r="H32" s="181"/>
      <c r="I32" s="178"/>
      <c r="J32" s="176"/>
      <c r="K32" s="178"/>
      <c r="L32" s="177"/>
      <c r="M32" s="178"/>
      <c r="N32" s="177"/>
      <c r="O32" s="178"/>
      <c r="P32" s="177">
        <v>1325.16</v>
      </c>
      <c r="Q32" s="178">
        <v>971</v>
      </c>
      <c r="R32" s="177"/>
      <c r="S32" s="178"/>
      <c r="T32" s="177"/>
      <c r="U32" s="337"/>
      <c r="V32" s="181"/>
      <c r="W32" s="178"/>
      <c r="X32" s="176"/>
      <c r="Y32" s="337"/>
      <c r="Z32" s="339"/>
      <c r="AA32" s="536"/>
      <c r="AB32" s="176"/>
      <c r="AC32" s="178"/>
      <c r="AD32" s="177"/>
      <c r="AE32" s="178"/>
      <c r="AF32" s="179"/>
      <c r="AG32" s="178"/>
      <c r="AH32" s="177"/>
      <c r="AI32" s="337"/>
      <c r="AJ32" s="181">
        <v>2180.89</v>
      </c>
      <c r="AK32" s="337">
        <v>2488</v>
      </c>
      <c r="AL32" s="853"/>
      <c r="AM32" s="853"/>
      <c r="AN32" s="850"/>
      <c r="AO32" s="846"/>
      <c r="AP32" s="596"/>
      <c r="AQ32" s="842"/>
      <c r="AR32" s="180"/>
      <c r="AS32" s="492"/>
      <c r="AT32" s="181"/>
      <c r="AU32" s="337"/>
      <c r="AV32" s="182">
        <f t="shared" si="0"/>
        <v>4083.19</v>
      </c>
      <c r="AW32" s="493">
        <f t="shared" si="1"/>
        <v>3943</v>
      </c>
      <c r="AX32" s="180"/>
      <c r="AY32" s="492"/>
      <c r="AZ32" s="182">
        <f t="shared" si="2"/>
        <v>4083.19</v>
      </c>
      <c r="BA32" s="836">
        <f t="shared" si="3"/>
        <v>3943</v>
      </c>
    </row>
    <row r="33" spans="1:53" x14ac:dyDescent="0.3">
      <c r="A33" s="173" t="s">
        <v>102</v>
      </c>
      <c r="B33" s="174"/>
      <c r="C33" s="175"/>
      <c r="D33" s="176">
        <v>107.15</v>
      </c>
      <c r="E33" s="178">
        <v>83</v>
      </c>
      <c r="F33" s="177"/>
      <c r="G33" s="337"/>
      <c r="H33" s="181"/>
      <c r="I33" s="178"/>
      <c r="J33" s="176"/>
      <c r="K33" s="178"/>
      <c r="L33" s="177"/>
      <c r="M33" s="178"/>
      <c r="N33" s="177"/>
      <c r="O33" s="178"/>
      <c r="P33" s="177"/>
      <c r="Q33" s="178"/>
      <c r="R33" s="177">
        <v>2361</v>
      </c>
      <c r="S33" s="178">
        <v>2590</v>
      </c>
      <c r="T33" s="177">
        <v>102.92</v>
      </c>
      <c r="U33" s="337">
        <v>51</v>
      </c>
      <c r="V33" s="181">
        <v>7725.87</v>
      </c>
      <c r="W33" s="178">
        <v>8857</v>
      </c>
      <c r="X33" s="176">
        <v>1535.23</v>
      </c>
      <c r="Y33" s="337">
        <v>1791</v>
      </c>
      <c r="Z33" s="339"/>
      <c r="AA33" s="536"/>
      <c r="AB33" s="176">
        <v>297.55</v>
      </c>
      <c r="AC33" s="178">
        <v>304</v>
      </c>
      <c r="AD33" s="177"/>
      <c r="AE33" s="178"/>
      <c r="AF33" s="179"/>
      <c r="AG33" s="178"/>
      <c r="AH33" s="177">
        <v>1059</v>
      </c>
      <c r="AI33" s="337">
        <v>1125</v>
      </c>
      <c r="AJ33" s="181"/>
      <c r="AK33" s="337"/>
      <c r="AL33" s="853"/>
      <c r="AM33" s="853"/>
      <c r="AN33" s="850"/>
      <c r="AO33" s="846"/>
      <c r="AP33" s="596"/>
      <c r="AQ33" s="842"/>
      <c r="AR33" s="180"/>
      <c r="AS33" s="492"/>
      <c r="AT33" s="181">
        <f>1010.13+15.39</f>
        <v>1025.52</v>
      </c>
      <c r="AU33" s="183">
        <v>1233</v>
      </c>
      <c r="AV33" s="182">
        <f t="shared" si="0"/>
        <v>14214.24</v>
      </c>
      <c r="AW33" s="493">
        <f t="shared" si="1"/>
        <v>16034</v>
      </c>
      <c r="AX33" s="180">
        <v>137.29</v>
      </c>
      <c r="AY33" s="492">
        <v>37</v>
      </c>
      <c r="AZ33" s="182">
        <f t="shared" si="2"/>
        <v>14351.53</v>
      </c>
      <c r="BA33" s="836">
        <f t="shared" si="3"/>
        <v>16071</v>
      </c>
    </row>
    <row r="34" spans="1:53" x14ac:dyDescent="0.3">
      <c r="A34" s="173" t="s">
        <v>103</v>
      </c>
      <c r="B34" s="174">
        <v>979.13</v>
      </c>
      <c r="C34" s="175">
        <v>774</v>
      </c>
      <c r="D34" s="176">
        <v>51.19</v>
      </c>
      <c r="E34" s="178">
        <v>13</v>
      </c>
      <c r="F34" s="177">
        <v>272.8</v>
      </c>
      <c r="G34" s="337">
        <v>240</v>
      </c>
      <c r="H34" s="181">
        <v>1141.0899999999999</v>
      </c>
      <c r="I34" s="178">
        <v>709</v>
      </c>
      <c r="J34" s="176">
        <v>306.06</v>
      </c>
      <c r="K34" s="178">
        <v>302</v>
      </c>
      <c r="L34" s="177"/>
      <c r="M34" s="178"/>
      <c r="N34" s="177">
        <v>210.54</v>
      </c>
      <c r="O34" s="178">
        <v>209</v>
      </c>
      <c r="P34" s="177"/>
      <c r="Q34" s="178"/>
      <c r="R34" s="177"/>
      <c r="S34" s="178"/>
      <c r="T34" s="177"/>
      <c r="U34" s="337"/>
      <c r="V34" s="181"/>
      <c r="W34" s="178"/>
      <c r="X34" s="176"/>
      <c r="Y34" s="337"/>
      <c r="Z34" s="339">
        <v>126.71</v>
      </c>
      <c r="AA34" s="536">
        <v>150</v>
      </c>
      <c r="AB34" s="176"/>
      <c r="AC34" s="178"/>
      <c r="AD34" s="177">
        <v>751.86</v>
      </c>
      <c r="AE34" s="178">
        <v>737</v>
      </c>
      <c r="AF34" s="179">
        <v>1481.62</v>
      </c>
      <c r="AG34" s="178">
        <v>1473</v>
      </c>
      <c r="AH34" s="177"/>
      <c r="AI34" s="337"/>
      <c r="AJ34" s="181"/>
      <c r="AK34" s="337"/>
      <c r="AL34" s="853"/>
      <c r="AM34" s="853"/>
      <c r="AN34" s="850"/>
      <c r="AO34" s="846"/>
      <c r="AP34" s="596"/>
      <c r="AQ34" s="842"/>
      <c r="AR34" s="180"/>
      <c r="AS34" s="492"/>
      <c r="AT34" s="181"/>
      <c r="AU34" s="337"/>
      <c r="AV34" s="182">
        <f t="shared" si="0"/>
        <v>5321</v>
      </c>
      <c r="AW34" s="493">
        <f t="shared" si="1"/>
        <v>4607</v>
      </c>
      <c r="AX34" s="180">
        <v>21830.58</v>
      </c>
      <c r="AY34" s="492">
        <v>21840</v>
      </c>
      <c r="AZ34" s="182">
        <f t="shared" si="2"/>
        <v>27151.58</v>
      </c>
      <c r="BA34" s="836">
        <f t="shared" si="3"/>
        <v>26447</v>
      </c>
    </row>
    <row r="35" spans="1:53" x14ac:dyDescent="0.3">
      <c r="A35" s="173" t="s">
        <v>104</v>
      </c>
      <c r="B35" s="174">
        <f>896.54</f>
        <v>896.54</v>
      </c>
      <c r="C35" s="175">
        <v>639</v>
      </c>
      <c r="D35" s="176">
        <v>59.19</v>
      </c>
      <c r="E35" s="178">
        <v>68</v>
      </c>
      <c r="F35" s="177">
        <v>303.97000000000003</v>
      </c>
      <c r="G35" s="337">
        <v>167</v>
      </c>
      <c r="H35" s="181"/>
      <c r="I35" s="178"/>
      <c r="J35" s="176"/>
      <c r="K35" s="178"/>
      <c r="L35" s="177"/>
      <c r="M35" s="178"/>
      <c r="N35" s="177"/>
      <c r="O35" s="178"/>
      <c r="P35" s="177"/>
      <c r="Q35" s="178"/>
      <c r="R35" s="177"/>
      <c r="S35" s="178"/>
      <c r="T35" s="177"/>
      <c r="U35" s="337"/>
      <c r="V35" s="181"/>
      <c r="W35" s="178"/>
      <c r="X35" s="176"/>
      <c r="Y35" s="337"/>
      <c r="Z35" s="339"/>
      <c r="AA35" s="536"/>
      <c r="AB35" s="176"/>
      <c r="AC35" s="178"/>
      <c r="AD35" s="177"/>
      <c r="AE35" s="178"/>
      <c r="AF35" s="179"/>
      <c r="AG35" s="178"/>
      <c r="AH35" s="177">
        <v>534</v>
      </c>
      <c r="AI35" s="337">
        <v>448</v>
      </c>
      <c r="AJ35" s="181"/>
      <c r="AK35" s="337"/>
      <c r="AL35" s="853"/>
      <c r="AM35" s="853"/>
      <c r="AN35" s="850"/>
      <c r="AO35" s="846"/>
      <c r="AP35" s="596"/>
      <c r="AQ35" s="842"/>
      <c r="AR35" s="180"/>
      <c r="AS35" s="492"/>
      <c r="AT35" s="840"/>
      <c r="AU35" s="183"/>
      <c r="AV35" s="182">
        <f t="shared" si="0"/>
        <v>1793.7</v>
      </c>
      <c r="AW35" s="493">
        <f t="shared" si="1"/>
        <v>1322</v>
      </c>
      <c r="AX35" s="180"/>
      <c r="AY35" s="492"/>
      <c r="AZ35" s="182">
        <f t="shared" si="2"/>
        <v>1793.7</v>
      </c>
      <c r="BA35" s="836">
        <f t="shared" si="3"/>
        <v>1322</v>
      </c>
    </row>
    <row r="36" spans="1:53" x14ac:dyDescent="0.3">
      <c r="A36" s="173" t="s">
        <v>105</v>
      </c>
      <c r="B36" s="174">
        <v>802.22</v>
      </c>
      <c r="C36" s="175">
        <v>882</v>
      </c>
      <c r="D36" s="176">
        <v>136.74</v>
      </c>
      <c r="E36" s="178">
        <v>129</v>
      </c>
      <c r="F36" s="177">
        <v>113.04</v>
      </c>
      <c r="G36" s="337">
        <v>90</v>
      </c>
      <c r="H36" s="181">
        <v>3220.71</v>
      </c>
      <c r="I36" s="178">
        <f>1550+1586+22</f>
        <v>3158</v>
      </c>
      <c r="J36" s="176">
        <v>1040.3699999999999</v>
      </c>
      <c r="K36" s="178">
        <f>543+146+48+177+832+246</f>
        <v>1992</v>
      </c>
      <c r="L36" s="177">
        <v>1600</v>
      </c>
      <c r="M36" s="178">
        <f>1553</f>
        <v>1553</v>
      </c>
      <c r="N36" s="177">
        <f>173.97+296.94</f>
        <v>470.90999999999997</v>
      </c>
      <c r="O36" s="178">
        <f>235+111+198</f>
        <v>544</v>
      </c>
      <c r="P36" s="177">
        <v>217.3</v>
      </c>
      <c r="Q36" s="178">
        <v>175</v>
      </c>
      <c r="R36" s="177"/>
      <c r="S36" s="178"/>
      <c r="T36" s="177">
        <v>118.07</v>
      </c>
      <c r="U36" s="337">
        <v>173</v>
      </c>
      <c r="V36" s="181"/>
      <c r="W36" s="178">
        <v>18385</v>
      </c>
      <c r="X36" s="176">
        <f>3641.19+1596.74</f>
        <v>5237.93</v>
      </c>
      <c r="Y36" s="337">
        <f>6594+14667+4652+2955+975</f>
        <v>29843</v>
      </c>
      <c r="Z36" s="339">
        <f>128.24+318.39</f>
        <v>446.63</v>
      </c>
      <c r="AA36" s="536">
        <f>459+454+100</f>
        <v>1013</v>
      </c>
      <c r="AB36" s="176"/>
      <c r="AC36" s="178">
        <v>138</v>
      </c>
      <c r="AD36" s="377">
        <f>323.9+1216+2246</f>
        <v>3785.9</v>
      </c>
      <c r="AE36" s="615">
        <f>1384+2441+411</f>
        <v>4236</v>
      </c>
      <c r="AF36" s="179">
        <f>108.6+1000.15+265.58</f>
        <v>1374.33</v>
      </c>
      <c r="AG36" s="178">
        <f>1634+108+1183+4555+349-1</f>
        <v>7828</v>
      </c>
      <c r="AH36" s="177">
        <v>-169</v>
      </c>
      <c r="AI36" s="337">
        <v>444</v>
      </c>
      <c r="AJ36" s="181">
        <f>595.37</f>
        <v>595.37</v>
      </c>
      <c r="AK36" s="337">
        <f>716+647</f>
        <v>1363</v>
      </c>
      <c r="AL36" s="853"/>
      <c r="AM36" s="853"/>
      <c r="AN36" s="850">
        <v>7393.06</v>
      </c>
      <c r="AO36" s="846">
        <f>3010+7149</f>
        <v>10159</v>
      </c>
      <c r="AP36" s="596">
        <v>2859.7</v>
      </c>
      <c r="AQ36" s="842">
        <f>506.41+2155.63</f>
        <v>2662.04</v>
      </c>
      <c r="AR36" s="180">
        <v>310.11</v>
      </c>
      <c r="AS36" s="492">
        <v>397</v>
      </c>
      <c r="AT36" s="181">
        <v>91</v>
      </c>
      <c r="AU36" s="337">
        <v>103</v>
      </c>
      <c r="AV36" s="174">
        <f t="shared" si="0"/>
        <v>29644.390000000003</v>
      </c>
      <c r="AW36" s="599">
        <f t="shared" si="1"/>
        <v>85267.04</v>
      </c>
      <c r="AX36" s="181">
        <f>13050.4+1187.95+402.9+47444.58</f>
        <v>62085.83</v>
      </c>
      <c r="AY36" s="337">
        <f>12261+1212+352+54354+79</f>
        <v>68258</v>
      </c>
      <c r="AZ36" s="174">
        <f t="shared" si="2"/>
        <v>91730.22</v>
      </c>
      <c r="BA36" s="600">
        <f t="shared" si="3"/>
        <v>153525.03999999998</v>
      </c>
    </row>
    <row r="37" spans="1:53" x14ac:dyDescent="0.3">
      <c r="A37" s="185" t="s">
        <v>106</v>
      </c>
      <c r="B37" s="858">
        <v>3538.9</v>
      </c>
      <c r="C37" s="190">
        <v>4034</v>
      </c>
      <c r="D37" s="856"/>
      <c r="E37" s="188"/>
      <c r="F37" s="187"/>
      <c r="G37" s="338"/>
      <c r="H37" s="838"/>
      <c r="I37" s="188"/>
      <c r="J37" s="856"/>
      <c r="K37" s="188"/>
      <c r="L37" s="187"/>
      <c r="M37" s="188"/>
      <c r="N37" s="187"/>
      <c r="O37" s="188"/>
      <c r="P37" s="187"/>
      <c r="Q37" s="188"/>
      <c r="R37" s="187"/>
      <c r="S37" s="188"/>
      <c r="T37" s="187">
        <v>662.79</v>
      </c>
      <c r="U37" s="338">
        <v>491</v>
      </c>
      <c r="V37" s="838"/>
      <c r="W37" s="188"/>
      <c r="X37" s="856"/>
      <c r="Y37" s="338"/>
      <c r="Z37" s="1123"/>
      <c r="AA37" s="1124"/>
      <c r="AB37" s="856">
        <v>784.29</v>
      </c>
      <c r="AC37" s="188"/>
      <c r="AD37" s="616"/>
      <c r="AE37" s="617"/>
      <c r="AF37" s="189"/>
      <c r="AG37" s="188"/>
      <c r="AH37" s="187"/>
      <c r="AI37" s="338"/>
      <c r="AJ37" s="838"/>
      <c r="AK37" s="338"/>
      <c r="AL37" s="854"/>
      <c r="AM37" s="854"/>
      <c r="AN37" s="852"/>
      <c r="AO37" s="847"/>
      <c r="AP37" s="848"/>
      <c r="AQ37" s="843"/>
      <c r="AR37" s="180"/>
      <c r="AS37" s="492"/>
      <c r="AT37" s="838"/>
      <c r="AU37" s="338"/>
      <c r="AV37" s="174">
        <f t="shared" si="0"/>
        <v>4985.9800000000005</v>
      </c>
      <c r="AW37" s="599">
        <f t="shared" si="1"/>
        <v>4525</v>
      </c>
      <c r="AX37" s="838"/>
      <c r="AY37" s="338"/>
      <c r="AZ37" s="174">
        <f t="shared" si="2"/>
        <v>4985.9800000000005</v>
      </c>
      <c r="BA37" s="600">
        <f t="shared" si="3"/>
        <v>4525</v>
      </c>
    </row>
    <row r="38" spans="1:53" ht="17.25" thickBot="1" x14ac:dyDescent="0.35">
      <c r="A38" s="488" t="s">
        <v>107</v>
      </c>
      <c r="B38" s="858"/>
      <c r="C38" s="190"/>
      <c r="D38" s="856"/>
      <c r="E38" s="188"/>
      <c r="F38" s="187"/>
      <c r="G38" s="338"/>
      <c r="H38" s="838"/>
      <c r="I38" s="188"/>
      <c r="J38" s="856"/>
      <c r="K38" s="188"/>
      <c r="L38" s="187"/>
      <c r="M38" s="188"/>
      <c r="N38" s="187"/>
      <c r="O38" s="188"/>
      <c r="P38" s="187"/>
      <c r="Q38" s="188"/>
      <c r="R38" s="187"/>
      <c r="S38" s="188"/>
      <c r="T38" s="187"/>
      <c r="U38" s="338"/>
      <c r="V38" s="838"/>
      <c r="W38" s="188"/>
      <c r="X38" s="856"/>
      <c r="Y38" s="338"/>
      <c r="Z38" s="844"/>
      <c r="AA38" s="1125"/>
      <c r="AB38" s="856"/>
      <c r="AC38" s="188"/>
      <c r="AD38" s="187"/>
      <c r="AE38" s="188"/>
      <c r="AF38" s="189"/>
      <c r="AG38" s="188"/>
      <c r="AH38" s="187"/>
      <c r="AI38" s="338"/>
      <c r="AJ38" s="838"/>
      <c r="AK38" s="338"/>
      <c r="AL38" s="854"/>
      <c r="AM38" s="854"/>
      <c r="AN38" s="838"/>
      <c r="AO38" s="338"/>
      <c r="AP38" s="848"/>
      <c r="AQ38" s="843"/>
      <c r="AR38" s="844"/>
      <c r="AS38" s="336"/>
      <c r="AT38" s="838"/>
      <c r="AU38" s="338"/>
      <c r="AV38" s="186">
        <f t="shared" si="0"/>
        <v>0</v>
      </c>
      <c r="AW38" s="494">
        <f t="shared" si="1"/>
        <v>0</v>
      </c>
      <c r="AX38" s="838"/>
      <c r="AY38" s="338"/>
      <c r="AZ38" s="186">
        <f t="shared" si="2"/>
        <v>0</v>
      </c>
      <c r="BA38" s="191">
        <f t="shared" si="3"/>
        <v>0</v>
      </c>
    </row>
    <row r="39" spans="1:53" s="487" customFormat="1" ht="18.75" thickBot="1" x14ac:dyDescent="0.4">
      <c r="A39" s="618" t="s">
        <v>54</v>
      </c>
      <c r="B39" s="837">
        <f t="shared" ref="B39:G39" si="4">SUM(B5:B38)</f>
        <v>132117.76000000001</v>
      </c>
      <c r="C39" s="485">
        <f t="shared" si="4"/>
        <v>152090</v>
      </c>
      <c r="D39" s="857">
        <f t="shared" si="4"/>
        <v>17994.670000000002</v>
      </c>
      <c r="E39" s="484">
        <f t="shared" si="4"/>
        <v>16260</v>
      </c>
      <c r="F39" s="484">
        <f t="shared" si="4"/>
        <v>28757.66</v>
      </c>
      <c r="G39" s="484">
        <f t="shared" si="4"/>
        <v>25316</v>
      </c>
      <c r="H39" s="837">
        <v>192677</v>
      </c>
      <c r="I39" s="485">
        <f t="shared" ref="I39:AU39" si="5">SUM(I5:I38)</f>
        <v>286783</v>
      </c>
      <c r="J39" s="484">
        <f t="shared" si="5"/>
        <v>69935.269999999975</v>
      </c>
      <c r="K39" s="484">
        <f t="shared" si="5"/>
        <v>87177</v>
      </c>
      <c r="L39" s="484">
        <f t="shared" si="5"/>
        <v>58757.709999999992</v>
      </c>
      <c r="M39" s="484">
        <f t="shared" si="5"/>
        <v>69730</v>
      </c>
      <c r="N39" s="484">
        <f t="shared" si="5"/>
        <v>24981.630000000005</v>
      </c>
      <c r="O39" s="484">
        <f t="shared" si="5"/>
        <v>26189</v>
      </c>
      <c r="P39" s="484">
        <f t="shared" si="5"/>
        <v>54295.399999999994</v>
      </c>
      <c r="Q39" s="484">
        <f t="shared" si="5"/>
        <v>53893</v>
      </c>
      <c r="R39" s="484">
        <f t="shared" si="5"/>
        <v>66242</v>
      </c>
      <c r="S39" s="484">
        <f t="shared" si="5"/>
        <v>74331</v>
      </c>
      <c r="T39" s="484">
        <f t="shared" si="5"/>
        <v>54939.09</v>
      </c>
      <c r="U39" s="484">
        <f t="shared" si="5"/>
        <v>51341</v>
      </c>
      <c r="V39" s="837">
        <f t="shared" si="5"/>
        <v>458597.05</v>
      </c>
      <c r="W39" s="485">
        <f t="shared" si="5"/>
        <v>561247</v>
      </c>
      <c r="X39" s="484">
        <f t="shared" si="5"/>
        <v>268826.36000000004</v>
      </c>
      <c r="Y39" s="484">
        <f t="shared" si="5"/>
        <v>367295</v>
      </c>
      <c r="Z39" s="837">
        <f t="shared" si="5"/>
        <v>23890.399999999998</v>
      </c>
      <c r="AA39" s="485">
        <f t="shared" si="5"/>
        <v>26652</v>
      </c>
      <c r="AB39" s="484">
        <f t="shared" si="5"/>
        <v>56146.78</v>
      </c>
      <c r="AC39" s="485">
        <f t="shared" si="5"/>
        <v>70422.17</v>
      </c>
      <c r="AD39" s="484">
        <f t="shared" si="5"/>
        <v>149668.74999999997</v>
      </c>
      <c r="AE39" s="485">
        <f t="shared" si="5"/>
        <v>164847</v>
      </c>
      <c r="AF39" s="486">
        <f t="shared" si="5"/>
        <v>270062.55</v>
      </c>
      <c r="AG39" s="485">
        <f t="shared" si="5"/>
        <v>301925</v>
      </c>
      <c r="AH39" s="484">
        <f t="shared" si="5"/>
        <v>100850</v>
      </c>
      <c r="AI39" s="855">
        <f t="shared" si="5"/>
        <v>120892</v>
      </c>
      <c r="AJ39" s="837">
        <f t="shared" si="5"/>
        <v>104144.63999999998</v>
      </c>
      <c r="AK39" s="484">
        <f t="shared" si="5"/>
        <v>107181</v>
      </c>
      <c r="AL39" s="837">
        <f t="shared" si="5"/>
        <v>0</v>
      </c>
      <c r="AM39" s="837">
        <f t="shared" si="5"/>
        <v>0</v>
      </c>
      <c r="AN39" s="837">
        <f t="shared" si="5"/>
        <v>241225.08000000002</v>
      </c>
      <c r="AO39" s="484">
        <f t="shared" si="5"/>
        <v>297444</v>
      </c>
      <c r="AP39" s="837">
        <f t="shared" si="5"/>
        <v>48881.03</v>
      </c>
      <c r="AQ39" s="484">
        <f t="shared" si="5"/>
        <v>51304.05999999999</v>
      </c>
      <c r="AR39" s="841">
        <f t="shared" si="5"/>
        <v>38997.94</v>
      </c>
      <c r="AS39" s="839">
        <f t="shared" si="5"/>
        <v>47518</v>
      </c>
      <c r="AT39" s="841">
        <f t="shared" si="5"/>
        <v>173397.33000000002</v>
      </c>
      <c r="AU39" s="839">
        <f t="shared" si="5"/>
        <v>291517</v>
      </c>
      <c r="AV39" s="837">
        <f t="shared" ref="AV39:BA39" si="6">SUM(AV5:AV38)</f>
        <v>2635386.0500000007</v>
      </c>
      <c r="AW39" s="484">
        <f t="shared" si="6"/>
        <v>3251354.23</v>
      </c>
      <c r="AX39" s="837">
        <f>SUM(AX5:AX38)</f>
        <v>3498982.29</v>
      </c>
      <c r="AY39" s="484">
        <f>SUM(AY5:AY38)</f>
        <v>3889046.62</v>
      </c>
      <c r="AZ39" s="837">
        <f t="shared" si="6"/>
        <v>6134368.3400000036</v>
      </c>
      <c r="BA39" s="485">
        <f t="shared" si="6"/>
        <v>7140400.8499999996</v>
      </c>
    </row>
  </sheetData>
  <mergeCells count="29">
    <mergeCell ref="H3:I3"/>
    <mergeCell ref="J3:K3"/>
    <mergeCell ref="T3:U3"/>
    <mergeCell ref="A1:AY1"/>
    <mergeCell ref="A2:AY2"/>
    <mergeCell ref="A3:A4"/>
    <mergeCell ref="AB3:AC3"/>
    <mergeCell ref="AD3:AE3"/>
    <mergeCell ref="AF3:AG3"/>
    <mergeCell ref="AH3:AI3"/>
    <mergeCell ref="B3:C3"/>
    <mergeCell ref="D3:E3"/>
    <mergeCell ref="N3:O3"/>
    <mergeCell ref="AL3:AM3"/>
    <mergeCell ref="F3:G3"/>
    <mergeCell ref="AJ3:AK3"/>
    <mergeCell ref="P3:Q3"/>
    <mergeCell ref="R3:S3"/>
    <mergeCell ref="V3:W3"/>
    <mergeCell ref="AZ3:BA3"/>
    <mergeCell ref="AV3:AW3"/>
    <mergeCell ref="L3:M3"/>
    <mergeCell ref="AR3:AS3"/>
    <mergeCell ref="AP3:AQ3"/>
    <mergeCell ref="AT3:AU3"/>
    <mergeCell ref="AN3:AO3"/>
    <mergeCell ref="AX3:AY3"/>
    <mergeCell ref="X3:Y3"/>
    <mergeCell ref="Z3:AA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BA39"/>
  <sheetViews>
    <sheetView topLeftCell="A16" workbookViewId="0">
      <pane xSplit="1" topLeftCell="AP1" activePane="topRight" state="frozen"/>
      <selection pane="topRight" activeCell="A3" sqref="A3:A4"/>
    </sheetView>
  </sheetViews>
  <sheetFormatPr defaultRowHeight="15" x14ac:dyDescent="0.25"/>
  <cols>
    <col min="1" max="1" width="37.28515625" style="159" bestFit="1" customWidth="1"/>
    <col min="2" max="4" width="12.42578125" bestFit="1" customWidth="1"/>
    <col min="5" max="5" width="12.42578125" style="157" bestFit="1" customWidth="1"/>
    <col min="6" max="21" width="12.42578125" bestFit="1" customWidth="1"/>
    <col min="22" max="23" width="12.42578125" style="157" bestFit="1" customWidth="1"/>
    <col min="24" max="25" width="12.7109375" bestFit="1" customWidth="1"/>
    <col min="26" max="41" width="12.42578125" bestFit="1" customWidth="1"/>
    <col min="42" max="47" width="12.42578125" style="157" bestFit="1" customWidth="1"/>
    <col min="48" max="53" width="12.42578125" style="158" bestFit="1" customWidth="1"/>
  </cols>
  <sheetData>
    <row r="1" spans="1:53" s="95" customFormat="1" ht="14.25" customHeight="1" x14ac:dyDescent="0.35">
      <c r="A1" s="1332" t="s">
        <v>154</v>
      </c>
      <c r="B1" s="1332"/>
      <c r="C1" s="1332"/>
      <c r="D1" s="1332"/>
      <c r="E1" s="1332"/>
      <c r="F1" s="1332"/>
      <c r="G1" s="1332"/>
      <c r="H1" s="1332"/>
      <c r="I1" s="1332"/>
      <c r="J1" s="1332"/>
      <c r="K1" s="1332"/>
      <c r="L1" s="1332"/>
      <c r="M1" s="1332"/>
      <c r="N1" s="1332"/>
      <c r="O1" s="1332"/>
      <c r="P1" s="1332"/>
      <c r="Q1" s="1332"/>
      <c r="R1" s="1332"/>
      <c r="S1" s="1332"/>
      <c r="T1" s="1332"/>
      <c r="U1" s="1332"/>
      <c r="V1" s="1332"/>
      <c r="W1" s="1332"/>
      <c r="X1" s="1332"/>
      <c r="Y1" s="1332"/>
      <c r="Z1" s="1332"/>
      <c r="AA1" s="1332"/>
      <c r="AB1" s="1332"/>
      <c r="AC1" s="1332"/>
      <c r="AD1" s="1332"/>
      <c r="AE1" s="1332"/>
      <c r="AF1" s="1332"/>
      <c r="AG1" s="1332"/>
      <c r="AH1" s="1332"/>
      <c r="AI1" s="1332"/>
      <c r="AJ1" s="1332"/>
      <c r="AK1" s="1332"/>
      <c r="AL1" s="1332"/>
      <c r="AM1" s="1332"/>
      <c r="AN1" s="1332"/>
      <c r="AO1" s="1332"/>
      <c r="AP1" s="1332"/>
      <c r="AQ1" s="1332"/>
      <c r="AR1" s="1332"/>
      <c r="AS1" s="1332"/>
      <c r="AT1" s="1332"/>
      <c r="AU1" s="1332"/>
      <c r="AV1" s="1332"/>
      <c r="AW1" s="1332"/>
      <c r="AX1" s="1332"/>
      <c r="AY1" s="1332"/>
      <c r="AZ1" s="127"/>
      <c r="BA1" s="127"/>
    </row>
    <row r="2" spans="1:53" s="95" customFormat="1" ht="14.25" customHeight="1" thickBot="1" x14ac:dyDescent="0.35">
      <c r="A2" s="1359" t="s">
        <v>427</v>
      </c>
      <c r="B2" s="1359"/>
      <c r="C2" s="1359"/>
      <c r="D2" s="1359"/>
      <c r="E2" s="1359"/>
      <c r="F2" s="1359"/>
      <c r="G2" s="1359"/>
      <c r="H2" s="1359"/>
      <c r="I2" s="1359"/>
      <c r="J2" s="1359"/>
      <c r="K2" s="1359"/>
      <c r="L2" s="1359"/>
      <c r="M2" s="1359"/>
      <c r="N2" s="1359"/>
      <c r="O2" s="1359"/>
      <c r="P2" s="1359"/>
      <c r="Q2" s="1359"/>
      <c r="R2" s="1359"/>
      <c r="S2" s="1359"/>
      <c r="T2" s="1359"/>
      <c r="U2" s="1359"/>
      <c r="V2" s="1359"/>
      <c r="W2" s="1359"/>
      <c r="X2" s="1359"/>
      <c r="Y2" s="1359"/>
      <c r="Z2" s="1359"/>
      <c r="AA2" s="1359"/>
      <c r="AB2" s="1359"/>
      <c r="AC2" s="1359"/>
      <c r="AD2" s="1359"/>
      <c r="AE2" s="1359"/>
      <c r="AF2" s="1359"/>
      <c r="AG2" s="1359"/>
      <c r="AH2" s="1359"/>
      <c r="AI2" s="1359"/>
      <c r="AJ2" s="1359"/>
      <c r="AK2" s="1359"/>
      <c r="AL2" s="1359"/>
      <c r="AM2" s="1359"/>
      <c r="AN2" s="1359"/>
      <c r="AO2" s="1359"/>
      <c r="AP2" s="1359"/>
      <c r="AQ2" s="1359"/>
      <c r="AR2" s="1359"/>
      <c r="AS2" s="1359"/>
      <c r="AT2" s="1359"/>
      <c r="AU2" s="1359"/>
      <c r="AV2" s="1359"/>
      <c r="AW2" s="1359"/>
      <c r="AX2" s="1359"/>
      <c r="AY2" s="1359"/>
      <c r="AZ2" s="127"/>
      <c r="BA2" s="127"/>
    </row>
    <row r="3" spans="1:53" s="694" customFormat="1" thickBot="1" x14ac:dyDescent="0.3">
      <c r="A3" s="1360" t="s">
        <v>0</v>
      </c>
      <c r="B3" s="1365" t="s">
        <v>158</v>
      </c>
      <c r="C3" s="1363"/>
      <c r="D3" s="1365" t="s">
        <v>159</v>
      </c>
      <c r="E3" s="1363"/>
      <c r="F3" s="1365" t="s">
        <v>160</v>
      </c>
      <c r="G3" s="1363"/>
      <c r="H3" s="1365" t="s">
        <v>161</v>
      </c>
      <c r="I3" s="1363"/>
      <c r="J3" s="1362" t="s">
        <v>162</v>
      </c>
      <c r="K3" s="1363"/>
      <c r="L3" s="1362" t="s">
        <v>163</v>
      </c>
      <c r="M3" s="1363"/>
      <c r="N3" s="1366" t="s">
        <v>312</v>
      </c>
      <c r="O3" s="1367"/>
      <c r="P3" s="1365" t="s">
        <v>164</v>
      </c>
      <c r="Q3" s="1363"/>
      <c r="R3" s="1365" t="s">
        <v>165</v>
      </c>
      <c r="S3" s="1363"/>
      <c r="T3" s="1365" t="s">
        <v>166</v>
      </c>
      <c r="U3" s="1363"/>
      <c r="V3" s="1364" t="s">
        <v>167</v>
      </c>
      <c r="W3" s="1319"/>
      <c r="X3" s="1362" t="s">
        <v>168</v>
      </c>
      <c r="Y3" s="1363"/>
      <c r="Z3" s="1362" t="s">
        <v>383</v>
      </c>
      <c r="AA3" s="1363"/>
      <c r="AB3" s="1362" t="s">
        <v>169</v>
      </c>
      <c r="AC3" s="1363"/>
      <c r="AD3" s="1370" t="s">
        <v>170</v>
      </c>
      <c r="AE3" s="1371"/>
      <c r="AF3" s="1362" t="s">
        <v>171</v>
      </c>
      <c r="AG3" s="1363"/>
      <c r="AH3" s="1362" t="s">
        <v>172</v>
      </c>
      <c r="AI3" s="1363"/>
      <c r="AJ3" s="1362" t="s">
        <v>173</v>
      </c>
      <c r="AK3" s="1363"/>
      <c r="AL3" s="1370" t="s">
        <v>174</v>
      </c>
      <c r="AM3" s="1371"/>
      <c r="AN3" s="1362" t="s">
        <v>175</v>
      </c>
      <c r="AO3" s="1363"/>
      <c r="AP3" s="1364" t="s">
        <v>176</v>
      </c>
      <c r="AQ3" s="1319"/>
      <c r="AR3" s="1364" t="s">
        <v>177</v>
      </c>
      <c r="AS3" s="1319"/>
      <c r="AT3" s="1364" t="s">
        <v>178</v>
      </c>
      <c r="AU3" s="1319"/>
      <c r="AV3" s="1312" t="s">
        <v>1</v>
      </c>
      <c r="AW3" s="1313"/>
      <c r="AX3" s="1368" t="s">
        <v>179</v>
      </c>
      <c r="AY3" s="1369"/>
      <c r="AZ3" s="1310" t="s">
        <v>2</v>
      </c>
      <c r="BA3" s="1311"/>
    </row>
    <row r="4" spans="1:53" s="453" customFormat="1" ht="15" customHeight="1" thickBot="1" x14ac:dyDescent="0.35">
      <c r="A4" s="1361"/>
      <c r="B4" s="525" t="s">
        <v>380</v>
      </c>
      <c r="C4" s="498" t="s">
        <v>423</v>
      </c>
      <c r="D4" s="525" t="s">
        <v>380</v>
      </c>
      <c r="E4" s="498" t="s">
        <v>423</v>
      </c>
      <c r="F4" s="525" t="s">
        <v>380</v>
      </c>
      <c r="G4" s="498" t="s">
        <v>423</v>
      </c>
      <c r="H4" s="525" t="s">
        <v>380</v>
      </c>
      <c r="I4" s="498" t="s">
        <v>423</v>
      </c>
      <c r="J4" s="525" t="s">
        <v>380</v>
      </c>
      <c r="K4" s="498" t="s">
        <v>423</v>
      </c>
      <c r="L4" s="525" t="s">
        <v>380</v>
      </c>
      <c r="M4" s="498" t="s">
        <v>423</v>
      </c>
      <c r="N4" s="525" t="s">
        <v>380</v>
      </c>
      <c r="O4" s="498" t="s">
        <v>423</v>
      </c>
      <c r="P4" s="525" t="s">
        <v>380</v>
      </c>
      <c r="Q4" s="498" t="s">
        <v>423</v>
      </c>
      <c r="R4" s="525" t="s">
        <v>380</v>
      </c>
      <c r="S4" s="498" t="s">
        <v>423</v>
      </c>
      <c r="T4" s="525" t="s">
        <v>380</v>
      </c>
      <c r="U4" s="498" t="s">
        <v>423</v>
      </c>
      <c r="V4" s="525" t="s">
        <v>380</v>
      </c>
      <c r="W4" s="498" t="s">
        <v>423</v>
      </c>
      <c r="X4" s="525" t="s">
        <v>380</v>
      </c>
      <c r="Y4" s="498" t="s">
        <v>423</v>
      </c>
      <c r="Z4" s="525" t="s">
        <v>380</v>
      </c>
      <c r="AA4" s="498" t="s">
        <v>423</v>
      </c>
      <c r="AB4" s="525" t="s">
        <v>380</v>
      </c>
      <c r="AC4" s="498" t="s">
        <v>423</v>
      </c>
      <c r="AD4" s="525" t="s">
        <v>380</v>
      </c>
      <c r="AE4" s="498" t="s">
        <v>423</v>
      </c>
      <c r="AF4" s="525" t="s">
        <v>380</v>
      </c>
      <c r="AG4" s="498" t="s">
        <v>423</v>
      </c>
      <c r="AH4" s="525" t="s">
        <v>380</v>
      </c>
      <c r="AI4" s="498" t="s">
        <v>423</v>
      </c>
      <c r="AJ4" s="525" t="s">
        <v>380</v>
      </c>
      <c r="AK4" s="498" t="s">
        <v>423</v>
      </c>
      <c r="AL4" s="525" t="s">
        <v>380</v>
      </c>
      <c r="AM4" s="498" t="s">
        <v>423</v>
      </c>
      <c r="AN4" s="525" t="s">
        <v>380</v>
      </c>
      <c r="AO4" s="498" t="s">
        <v>423</v>
      </c>
      <c r="AP4" s="525" t="s">
        <v>380</v>
      </c>
      <c r="AQ4" s="498" t="s">
        <v>423</v>
      </c>
      <c r="AR4" s="525" t="s">
        <v>380</v>
      </c>
      <c r="AS4" s="498" t="s">
        <v>423</v>
      </c>
      <c r="AT4" s="525" t="s">
        <v>380</v>
      </c>
      <c r="AU4" s="498" t="s">
        <v>423</v>
      </c>
      <c r="AV4" s="525" t="s">
        <v>380</v>
      </c>
      <c r="AW4" s="498" t="s">
        <v>423</v>
      </c>
      <c r="AX4" s="525" t="s">
        <v>380</v>
      </c>
      <c r="AY4" s="498" t="s">
        <v>423</v>
      </c>
      <c r="AZ4" s="525" t="s">
        <v>380</v>
      </c>
      <c r="BA4" s="498" t="s">
        <v>423</v>
      </c>
    </row>
    <row r="5" spans="1:53" s="98" customFormat="1" ht="15" customHeight="1" x14ac:dyDescent="0.3">
      <c r="A5" s="415" t="s">
        <v>30</v>
      </c>
      <c r="B5" s="759"/>
      <c r="C5" s="162"/>
      <c r="D5" s="161"/>
      <c r="E5" s="163"/>
      <c r="F5" s="165"/>
      <c r="G5" s="163"/>
      <c r="H5" s="165"/>
      <c r="I5" s="163"/>
      <c r="J5" s="164"/>
      <c r="K5" s="163"/>
      <c r="L5" s="164"/>
      <c r="M5" s="163"/>
      <c r="N5" s="165"/>
      <c r="O5" s="163"/>
      <c r="P5" s="161"/>
      <c r="Q5" s="162"/>
      <c r="R5" s="161"/>
      <c r="S5" s="162"/>
      <c r="T5" s="161"/>
      <c r="U5" s="162"/>
      <c r="V5" s="164"/>
      <c r="W5" s="163"/>
      <c r="X5" s="766"/>
      <c r="Y5" s="162"/>
      <c r="Z5" s="766"/>
      <c r="AA5" s="162"/>
      <c r="AB5" s="766"/>
      <c r="AC5" s="162"/>
      <c r="AD5" s="766"/>
      <c r="AE5" s="162"/>
      <c r="AF5" s="766"/>
      <c r="AG5" s="162"/>
      <c r="AH5" s="766"/>
      <c r="AI5" s="162"/>
      <c r="AJ5" s="766"/>
      <c r="AK5" s="162"/>
      <c r="AL5" s="706"/>
      <c r="AM5" s="1009"/>
      <c r="AN5" s="207"/>
      <c r="AO5" s="208"/>
      <c r="AP5" s="164"/>
      <c r="AQ5" s="163"/>
      <c r="AR5" s="164"/>
      <c r="AS5" s="163"/>
      <c r="AT5" s="164"/>
      <c r="AU5" s="163"/>
      <c r="AV5" s="164"/>
      <c r="AW5" s="163"/>
      <c r="AX5" s="164"/>
      <c r="AY5" s="163"/>
      <c r="AZ5" s="168"/>
      <c r="BA5" s="169"/>
    </row>
    <row r="6" spans="1:53" s="98" customFormat="1" ht="14.25" x14ac:dyDescent="0.3">
      <c r="A6" s="414" t="s">
        <v>31</v>
      </c>
      <c r="B6" s="760">
        <v>78580.52</v>
      </c>
      <c r="C6" s="99">
        <v>148344</v>
      </c>
      <c r="D6" s="101">
        <v>14267.46</v>
      </c>
      <c r="E6" s="105">
        <v>34945</v>
      </c>
      <c r="F6" s="104">
        <v>13696.01</v>
      </c>
      <c r="G6" s="105">
        <v>31438</v>
      </c>
      <c r="H6" s="104">
        <v>137364.10999999999</v>
      </c>
      <c r="I6" s="105">
        <v>232806</v>
      </c>
      <c r="J6" s="128">
        <v>19006.009999999998</v>
      </c>
      <c r="K6" s="105">
        <v>39693</v>
      </c>
      <c r="L6" s="128">
        <v>31521.49</v>
      </c>
      <c r="M6" s="105">
        <v>66063</v>
      </c>
      <c r="N6" s="128">
        <v>30598.85</v>
      </c>
      <c r="O6" s="105">
        <v>35869</v>
      </c>
      <c r="P6" s="101">
        <v>10827.5</v>
      </c>
      <c r="Q6" s="102">
        <v>22915</v>
      </c>
      <c r="R6" s="101">
        <v>32517</v>
      </c>
      <c r="S6" s="102">
        <v>63181</v>
      </c>
      <c r="T6" s="101">
        <v>17423.650000000001</v>
      </c>
      <c r="U6" s="102">
        <v>29219</v>
      </c>
      <c r="V6" s="128">
        <v>305663</v>
      </c>
      <c r="W6" s="105">
        <v>581016</v>
      </c>
      <c r="X6" s="767">
        <v>272860.58</v>
      </c>
      <c r="Y6" s="102">
        <v>562092</v>
      </c>
      <c r="Z6" s="770">
        <v>12605.67</v>
      </c>
      <c r="AA6" s="106">
        <v>20461</v>
      </c>
      <c r="AB6" s="767">
        <v>53330.54</v>
      </c>
      <c r="AC6" s="102">
        <v>112022</v>
      </c>
      <c r="AD6" s="767">
        <v>121837.26</v>
      </c>
      <c r="AE6" s="102">
        <v>222241</v>
      </c>
      <c r="AF6" s="767">
        <v>134934.25</v>
      </c>
      <c r="AG6" s="97">
        <v>317001</v>
      </c>
      <c r="AH6" s="767">
        <v>72624</v>
      </c>
      <c r="AI6" s="102">
        <v>180495</v>
      </c>
      <c r="AJ6" s="767">
        <v>21619.83</v>
      </c>
      <c r="AK6" s="102">
        <v>37187</v>
      </c>
      <c r="AL6" s="767"/>
      <c r="AM6" s="906"/>
      <c r="AN6" s="743">
        <v>301318.11</v>
      </c>
      <c r="AO6" s="209">
        <v>552210</v>
      </c>
      <c r="AP6" s="778">
        <v>27838.28</v>
      </c>
      <c r="AQ6" s="780">
        <v>54088</v>
      </c>
      <c r="AR6" s="737">
        <v>27040.91</v>
      </c>
      <c r="AS6" s="120">
        <v>68824</v>
      </c>
      <c r="AT6" s="128">
        <v>69765.17</v>
      </c>
      <c r="AU6" s="105">
        <v>178888</v>
      </c>
      <c r="AV6" s="131">
        <f t="shared" ref="AV6:AW8" si="0">SUM(B6+D6+F6+H6+J6+L6+N6+P6+R6+T6+V6+X6+Z6+AB6+AD6+AF6+AH6+AJ6+AL6+AN6+AP6+AR6+AT6)</f>
        <v>1807240.1999999997</v>
      </c>
      <c r="AW6" s="132">
        <f t="shared" si="0"/>
        <v>3590998</v>
      </c>
      <c r="AX6" s="737">
        <v>2387861.9700000002</v>
      </c>
      <c r="AY6" s="120">
        <v>3657849</v>
      </c>
      <c r="AZ6" s="131">
        <f t="shared" ref="AZ6:BA8" si="1">AV6+AX6</f>
        <v>4195102.17</v>
      </c>
      <c r="BA6" s="132">
        <f t="shared" si="1"/>
        <v>7248847</v>
      </c>
    </row>
    <row r="7" spans="1:53" s="98" customFormat="1" ht="14.25" x14ac:dyDescent="0.3">
      <c r="A7" s="414" t="s">
        <v>32</v>
      </c>
      <c r="B7" s="760">
        <v>111509.33</v>
      </c>
      <c r="C7" s="99">
        <v>148772</v>
      </c>
      <c r="D7" s="101">
        <v>4563.57</v>
      </c>
      <c r="E7" s="105">
        <v>3440</v>
      </c>
      <c r="F7" s="104">
        <v>23077.83</v>
      </c>
      <c r="G7" s="105">
        <v>26563</v>
      </c>
      <c r="H7" s="104">
        <v>150238.25</v>
      </c>
      <c r="I7" s="105">
        <v>195999</v>
      </c>
      <c r="J7" s="128">
        <v>6761.37</v>
      </c>
      <c r="K7" s="105">
        <v>5938</v>
      </c>
      <c r="L7" s="128">
        <v>3908.33</v>
      </c>
      <c r="M7" s="105">
        <v>24208</v>
      </c>
      <c r="N7" s="128">
        <v>1346.56</v>
      </c>
      <c r="O7" s="105">
        <v>6048</v>
      </c>
      <c r="P7" s="101"/>
      <c r="Q7" s="102">
        <v>367</v>
      </c>
      <c r="R7" s="101">
        <v>73086.070000000007</v>
      </c>
      <c r="S7" s="102">
        <v>77940</v>
      </c>
      <c r="T7" s="101">
        <v>10495.96</v>
      </c>
      <c r="U7" s="102">
        <v>6666</v>
      </c>
      <c r="V7" s="128">
        <v>688409</v>
      </c>
      <c r="W7" s="105">
        <v>900275</v>
      </c>
      <c r="X7" s="767">
        <v>370616.47</v>
      </c>
      <c r="Y7" s="102">
        <v>415469</v>
      </c>
      <c r="Z7" s="770">
        <v>30757.84</v>
      </c>
      <c r="AA7" s="106">
        <v>33805</v>
      </c>
      <c r="AB7" s="767">
        <v>10917.58</v>
      </c>
      <c r="AC7" s="102">
        <v>13184</v>
      </c>
      <c r="AD7" s="767">
        <v>154121.45000000001</v>
      </c>
      <c r="AE7" s="102">
        <v>205254</v>
      </c>
      <c r="AF7" s="767">
        <v>90105.72</v>
      </c>
      <c r="AG7" s="97">
        <v>96590</v>
      </c>
      <c r="AH7" s="767">
        <v>20796</v>
      </c>
      <c r="AI7" s="102">
        <v>32566</v>
      </c>
      <c r="AJ7" s="767">
        <v>71857.3</v>
      </c>
      <c r="AK7" s="102">
        <v>96244</v>
      </c>
      <c r="AL7" s="767"/>
      <c r="AM7" s="906"/>
      <c r="AN7" s="743">
        <v>620102.89</v>
      </c>
      <c r="AO7" s="209">
        <v>972544</v>
      </c>
      <c r="AP7" s="778">
        <v>13617.72</v>
      </c>
      <c r="AQ7" s="780">
        <v>14501</v>
      </c>
      <c r="AR7" s="737">
        <v>27033.09</v>
      </c>
      <c r="AS7" s="120">
        <v>56891</v>
      </c>
      <c r="AT7" s="128">
        <v>60908.7</v>
      </c>
      <c r="AU7" s="105">
        <v>72630</v>
      </c>
      <c r="AV7" s="131">
        <f t="shared" si="0"/>
        <v>2544231.0300000003</v>
      </c>
      <c r="AW7" s="132">
        <f t="shared" si="0"/>
        <v>3405894</v>
      </c>
      <c r="AX7" s="737">
        <v>16565920.439999999</v>
      </c>
      <c r="AY7" s="120">
        <v>20552653</v>
      </c>
      <c r="AZ7" s="131">
        <f t="shared" si="1"/>
        <v>19110151.469999999</v>
      </c>
      <c r="BA7" s="132">
        <f t="shared" si="1"/>
        <v>23958547</v>
      </c>
    </row>
    <row r="8" spans="1:53" s="98" customFormat="1" ht="14.25" x14ac:dyDescent="0.3">
      <c r="A8" s="414" t="s">
        <v>33</v>
      </c>
      <c r="B8" s="760">
        <v>1621.15</v>
      </c>
      <c r="C8" s="99">
        <v>2271</v>
      </c>
      <c r="D8" s="101">
        <v>1.51</v>
      </c>
      <c r="E8" s="105">
        <v>2</v>
      </c>
      <c r="F8" s="104">
        <v>13100.4</v>
      </c>
      <c r="G8" s="105">
        <v>4961</v>
      </c>
      <c r="H8" s="104">
        <v>1921.64</v>
      </c>
      <c r="I8" s="105">
        <v>2291</v>
      </c>
      <c r="J8" s="128"/>
      <c r="K8" s="105"/>
      <c r="L8" s="128">
        <v>1824.91</v>
      </c>
      <c r="M8" s="105">
        <v>3652</v>
      </c>
      <c r="N8" s="104"/>
      <c r="O8" s="105">
        <v>3</v>
      </c>
      <c r="P8" s="101">
        <v>223.67</v>
      </c>
      <c r="Q8" s="102">
        <v>239</v>
      </c>
      <c r="R8" s="101">
        <v>784.07</v>
      </c>
      <c r="S8" s="102">
        <v>1124</v>
      </c>
      <c r="T8" s="101">
        <v>50.34</v>
      </c>
      <c r="U8" s="102">
        <v>68</v>
      </c>
      <c r="V8" s="128">
        <v>43694.080000000002</v>
      </c>
      <c r="W8" s="105">
        <v>69167</v>
      </c>
      <c r="X8" s="767">
        <v>30434.42</v>
      </c>
      <c r="Y8" s="102">
        <v>41568</v>
      </c>
      <c r="Z8" s="770">
        <v>92.79</v>
      </c>
      <c r="AA8" s="106">
        <v>291</v>
      </c>
      <c r="AB8" s="767">
        <v>21.11</v>
      </c>
      <c r="AC8" s="102">
        <v>79</v>
      </c>
      <c r="AD8" s="767">
        <v>3086.33</v>
      </c>
      <c r="AE8" s="102">
        <v>4799</v>
      </c>
      <c r="AF8" s="767">
        <v>1853.51</v>
      </c>
      <c r="AG8" s="97">
        <v>3092</v>
      </c>
      <c r="AH8" s="767">
        <v>2333</v>
      </c>
      <c r="AI8" s="102">
        <v>4688</v>
      </c>
      <c r="AJ8" s="767">
        <v>666.05</v>
      </c>
      <c r="AK8" s="102">
        <v>873</v>
      </c>
      <c r="AL8" s="767"/>
      <c r="AM8" s="906"/>
      <c r="AN8" s="743">
        <v>35704.01</v>
      </c>
      <c r="AO8" s="209">
        <v>54472</v>
      </c>
      <c r="AP8" s="778">
        <v>91.9</v>
      </c>
      <c r="AQ8" s="780">
        <v>323</v>
      </c>
      <c r="AR8" s="737">
        <v>1686.24</v>
      </c>
      <c r="AS8" s="120">
        <v>2379</v>
      </c>
      <c r="AT8" s="128">
        <v>1441.59</v>
      </c>
      <c r="AU8" s="105">
        <v>2812</v>
      </c>
      <c r="AV8" s="131">
        <f t="shared" si="0"/>
        <v>140632.71999999997</v>
      </c>
      <c r="AW8" s="132">
        <f t="shared" si="0"/>
        <v>199154</v>
      </c>
      <c r="AX8" s="737">
        <v>1457136.02</v>
      </c>
      <c r="AY8" s="120">
        <v>1625720</v>
      </c>
      <c r="AZ8" s="131">
        <f t="shared" si="1"/>
        <v>1597768.74</v>
      </c>
      <c r="BA8" s="132">
        <f t="shared" si="1"/>
        <v>1824874</v>
      </c>
    </row>
    <row r="9" spans="1:53" s="98" customFormat="1" ht="14.25" x14ac:dyDescent="0.3">
      <c r="A9" s="414" t="s">
        <v>34</v>
      </c>
      <c r="B9" s="760"/>
      <c r="C9" s="99"/>
      <c r="D9" s="101"/>
      <c r="E9" s="105"/>
      <c r="F9" s="104"/>
      <c r="G9" s="105"/>
      <c r="H9" s="104"/>
      <c r="I9" s="105"/>
      <c r="J9" s="128"/>
      <c r="K9" s="105"/>
      <c r="L9" s="128"/>
      <c r="M9" s="105"/>
      <c r="N9" s="104"/>
      <c r="O9" s="105"/>
      <c r="P9" s="101"/>
      <c r="Q9" s="102"/>
      <c r="R9" s="101"/>
      <c r="S9" s="102"/>
      <c r="T9" s="101"/>
      <c r="U9" s="102"/>
      <c r="V9" s="115"/>
      <c r="W9" s="105"/>
      <c r="X9" s="767"/>
      <c r="Y9" s="102"/>
      <c r="Z9" s="770"/>
      <c r="AA9" s="106"/>
      <c r="AB9" s="767"/>
      <c r="AC9" s="102"/>
      <c r="AD9" s="767"/>
      <c r="AE9" s="102"/>
      <c r="AF9" s="767"/>
      <c r="AG9" s="97"/>
      <c r="AH9" s="767"/>
      <c r="AI9" s="102"/>
      <c r="AJ9" s="767"/>
      <c r="AK9" s="102"/>
      <c r="AL9" s="767"/>
      <c r="AM9" s="906"/>
      <c r="AN9" s="103"/>
      <c r="AO9" s="105"/>
      <c r="AP9" s="778"/>
      <c r="AQ9" s="780"/>
      <c r="AR9" s="737"/>
      <c r="AS9" s="120"/>
      <c r="AT9" s="128">
        <v>8705.5499999999993</v>
      </c>
      <c r="AU9" s="105">
        <f>14103</f>
        <v>14103</v>
      </c>
      <c r="AV9" s="131"/>
      <c r="AW9" s="132"/>
      <c r="AX9" s="737"/>
      <c r="AY9" s="120"/>
      <c r="AZ9" s="131"/>
      <c r="BA9" s="132"/>
    </row>
    <row r="10" spans="1:53" s="98" customFormat="1" ht="14.25" x14ac:dyDescent="0.3">
      <c r="A10" s="414" t="s">
        <v>35</v>
      </c>
      <c r="B10" s="761">
        <v>13953.45</v>
      </c>
      <c r="C10" s="134">
        <f>19250+4389</f>
        <v>23639</v>
      </c>
      <c r="D10" s="112">
        <v>1110.97</v>
      </c>
      <c r="E10" s="125">
        <v>1937</v>
      </c>
      <c r="F10" s="124">
        <v>7203.42</v>
      </c>
      <c r="G10" s="125">
        <v>9553</v>
      </c>
      <c r="H10" s="124">
        <v>39633.699999999997</v>
      </c>
      <c r="I10" s="125">
        <f>44657</f>
        <v>44657</v>
      </c>
      <c r="J10" s="131">
        <v>9763.44</v>
      </c>
      <c r="K10" s="125">
        <v>17535</v>
      </c>
      <c r="L10" s="131">
        <v>2244.3000000000002</v>
      </c>
      <c r="M10" s="125">
        <v>2043</v>
      </c>
      <c r="N10" s="124">
        <v>508.32</v>
      </c>
      <c r="O10" s="125">
        <v>745</v>
      </c>
      <c r="P10" s="112">
        <v>1070.9000000000001</v>
      </c>
      <c r="Q10" s="135">
        <v>1653</v>
      </c>
      <c r="R10" s="112"/>
      <c r="S10" s="135"/>
      <c r="T10" s="112">
        <v>2308.54</v>
      </c>
      <c r="U10" s="135">
        <v>2805</v>
      </c>
      <c r="V10" s="131">
        <v>5478.4</v>
      </c>
      <c r="W10" s="125">
        <v>3943</v>
      </c>
      <c r="X10" s="768">
        <v>36899.74</v>
      </c>
      <c r="Y10" s="155">
        <v>45020</v>
      </c>
      <c r="Z10" s="770">
        <v>25066.11</v>
      </c>
      <c r="AA10" s="106">
        <v>22687</v>
      </c>
      <c r="AB10" s="768">
        <v>8686.91</v>
      </c>
      <c r="AC10" s="135">
        <v>11034</v>
      </c>
      <c r="AD10" s="773">
        <v>26938.27</v>
      </c>
      <c r="AE10" s="774">
        <v>37141</v>
      </c>
      <c r="AF10" s="768">
        <v>18451.39</v>
      </c>
      <c r="AG10" s="97">
        <v>24733</v>
      </c>
      <c r="AH10" s="768">
        <v>34920</v>
      </c>
      <c r="AI10" s="135">
        <v>38874</v>
      </c>
      <c r="AJ10" s="768">
        <v>64952.13</v>
      </c>
      <c r="AK10" s="135">
        <v>54225</v>
      </c>
      <c r="AL10" s="767"/>
      <c r="AM10" s="906"/>
      <c r="AN10" s="743">
        <v>142686.46</v>
      </c>
      <c r="AO10" s="209">
        <v>128386</v>
      </c>
      <c r="AP10" s="778">
        <v>4257.12</v>
      </c>
      <c r="AQ10" s="780">
        <v>5006</v>
      </c>
      <c r="AR10" s="737">
        <v>7555.22</v>
      </c>
      <c r="AS10" s="120">
        <v>9653</v>
      </c>
      <c r="AT10" s="131">
        <v>62440.639999999999</v>
      </c>
      <c r="AU10" s="125">
        <f>28701+40426</f>
        <v>69127</v>
      </c>
      <c r="AV10" s="131">
        <f t="shared" ref="AV10:AV15" si="2">SUM(B10+D10+F10+H10+J10+L10+N10+P10+R10+T10+V10+X10+Z10+AB10+AD10+AF10+AH10+AJ10+AL10+AN10+AP10+AR10+AT10)</f>
        <v>516129.42999999993</v>
      </c>
      <c r="AW10" s="132">
        <f>SUM(C10+E10+G10+I10+K10+M10+O10+Q10+S10+U10+W10+Y11+AA10+AC10+AE10+AG10+AI10+AK10+AM10+AO10+AQ10+AS10+AU10)</f>
        <v>2550043</v>
      </c>
      <c r="AX10" s="131"/>
      <c r="AY10" s="125"/>
      <c r="AZ10" s="131">
        <f t="shared" ref="AZ10:BA15" si="3">AV10+AX10</f>
        <v>516129.42999999993</v>
      </c>
      <c r="BA10" s="132">
        <f t="shared" si="3"/>
        <v>2550043</v>
      </c>
    </row>
    <row r="11" spans="1:53" s="1140" customFormat="1" ht="14.25" x14ac:dyDescent="0.3">
      <c r="A11" s="958" t="s">
        <v>36</v>
      </c>
      <c r="B11" s="1298">
        <v>304161.13</v>
      </c>
      <c r="C11" s="1299">
        <v>420470</v>
      </c>
      <c r="D11" s="1300">
        <v>18606.189999999999</v>
      </c>
      <c r="E11" s="1281">
        <v>20573</v>
      </c>
      <c r="F11" s="1301">
        <v>47762.58</v>
      </c>
      <c r="G11" s="1281">
        <v>65330</v>
      </c>
      <c r="H11" s="1301">
        <v>286472.62</v>
      </c>
      <c r="I11" s="1281">
        <v>432933</v>
      </c>
      <c r="J11" s="1297">
        <v>22395.87</v>
      </c>
      <c r="K11" s="1281">
        <v>23330</v>
      </c>
      <c r="L11" s="1297">
        <v>148933.15</v>
      </c>
      <c r="M11" s="1281">
        <v>146285</v>
      </c>
      <c r="N11" s="1301">
        <v>16778.98</v>
      </c>
      <c r="O11" s="1281">
        <v>20385</v>
      </c>
      <c r="P11" s="1300">
        <v>8673.9</v>
      </c>
      <c r="Q11" s="1296">
        <v>19105</v>
      </c>
      <c r="R11" s="1300">
        <v>62162</v>
      </c>
      <c r="S11" s="1296">
        <v>74671</v>
      </c>
      <c r="T11" s="1300">
        <v>15281.5</v>
      </c>
      <c r="U11" s="1296">
        <v>22832</v>
      </c>
      <c r="V11" s="1297">
        <v>690473</v>
      </c>
      <c r="W11" s="1281">
        <v>896809</v>
      </c>
      <c r="X11" s="1302">
        <v>1621343.86</v>
      </c>
      <c r="Y11" s="1296">
        <v>2040667</v>
      </c>
      <c r="Z11" s="1302">
        <v>30086.54</v>
      </c>
      <c r="AA11" s="1296">
        <v>31872</v>
      </c>
      <c r="AB11" s="1302">
        <v>274234.96999999997</v>
      </c>
      <c r="AC11" s="1296">
        <v>297995</v>
      </c>
      <c r="AD11" s="1302">
        <v>112101.16</v>
      </c>
      <c r="AE11" s="1296">
        <v>144141</v>
      </c>
      <c r="AF11" s="1302">
        <v>369150.71999999997</v>
      </c>
      <c r="AG11" s="1027">
        <v>477399</v>
      </c>
      <c r="AH11" s="1302">
        <v>140352</v>
      </c>
      <c r="AI11" s="1296">
        <v>115178</v>
      </c>
      <c r="AJ11" s="1302">
        <v>119610.62</v>
      </c>
      <c r="AK11" s="1296">
        <v>125773</v>
      </c>
      <c r="AL11" s="1302"/>
      <c r="AM11" s="1303"/>
      <c r="AN11" s="703">
        <v>471582.8</v>
      </c>
      <c r="AO11" s="1281">
        <v>710158</v>
      </c>
      <c r="AP11" s="1304">
        <v>10087.73</v>
      </c>
      <c r="AQ11" s="1305">
        <v>13961</v>
      </c>
      <c r="AR11" s="715">
        <v>39602.83</v>
      </c>
      <c r="AS11" s="1306">
        <v>39228</v>
      </c>
      <c r="AT11" s="1297">
        <v>106521.58</v>
      </c>
      <c r="AU11" s="1281">
        <v>174759</v>
      </c>
      <c r="AV11" s="1297">
        <f t="shared" si="2"/>
        <v>4916375.7300000004</v>
      </c>
      <c r="AW11" s="710">
        <f>SUM(C11+E11+G11+I11+K11+M11+O11+Q11+S11+U11+W11+Y12+AA11+AC11+AE11+AG11+AI11+AK11+AM11+AO11+AQ11+AS11+AU11)</f>
        <v>4273187</v>
      </c>
      <c r="AX11" s="715">
        <v>8010099.9000000004</v>
      </c>
      <c r="AY11" s="1306">
        <v>9511804</v>
      </c>
      <c r="AZ11" s="1297">
        <f t="shared" si="3"/>
        <v>12926475.630000001</v>
      </c>
      <c r="BA11" s="710">
        <f t="shared" si="3"/>
        <v>13784991</v>
      </c>
    </row>
    <row r="12" spans="1:53" s="98" customFormat="1" ht="14.25" x14ac:dyDescent="0.3">
      <c r="A12" s="414" t="s">
        <v>37</v>
      </c>
      <c r="B12" s="760"/>
      <c r="C12" s="99"/>
      <c r="D12" s="101"/>
      <c r="E12" s="105"/>
      <c r="F12" s="104"/>
      <c r="G12" s="105"/>
      <c r="H12" s="104"/>
      <c r="I12" s="105"/>
      <c r="J12" s="128"/>
      <c r="K12" s="105"/>
      <c r="L12" s="128"/>
      <c r="M12" s="105"/>
      <c r="N12" s="104"/>
      <c r="O12" s="105"/>
      <c r="P12" s="101"/>
      <c r="Q12" s="102"/>
      <c r="R12" s="101"/>
      <c r="S12" s="102"/>
      <c r="T12" s="101"/>
      <c r="U12" s="102"/>
      <c r="V12" s="128">
        <v>308840.03999999998</v>
      </c>
      <c r="W12" s="105">
        <v>261756</v>
      </c>
      <c r="X12" s="767"/>
      <c r="Y12" s="102"/>
      <c r="Z12" s="767"/>
      <c r="AA12" s="102"/>
      <c r="AB12" s="767"/>
      <c r="AC12" s="102"/>
      <c r="AD12" s="767">
        <v>12206.37</v>
      </c>
      <c r="AE12" s="102">
        <v>22205</v>
      </c>
      <c r="AF12" s="767"/>
      <c r="AG12" s="97"/>
      <c r="AH12" s="767"/>
      <c r="AI12" s="102"/>
      <c r="AJ12" s="767"/>
      <c r="AK12" s="102"/>
      <c r="AL12" s="767"/>
      <c r="AM12" s="906"/>
      <c r="AN12" s="743">
        <v>243205.31</v>
      </c>
      <c r="AO12" s="209">
        <v>356582</v>
      </c>
      <c r="AP12" s="778"/>
      <c r="AQ12" s="780"/>
      <c r="AR12" s="737"/>
      <c r="AS12" s="120"/>
      <c r="AT12" s="128"/>
      <c r="AU12" s="105"/>
      <c r="AV12" s="131">
        <f t="shared" si="2"/>
        <v>564251.72</v>
      </c>
      <c r="AW12" s="132">
        <f>SUM(C12+E12+G12+I12+K12+M12+O12+Q12+S12+U12+W12+Y12+AA12+AC12+AE12+AG12+AI12+AK12+AM12+AO12+AQ12+AS12+AU12)</f>
        <v>640543</v>
      </c>
      <c r="AX12" s="737"/>
      <c r="AY12" s="120"/>
      <c r="AZ12" s="131">
        <f t="shared" si="3"/>
        <v>564251.72</v>
      </c>
      <c r="BA12" s="132">
        <f t="shared" si="3"/>
        <v>640543</v>
      </c>
    </row>
    <row r="13" spans="1:53" s="98" customFormat="1" ht="14.25" x14ac:dyDescent="0.3">
      <c r="A13" s="414" t="s">
        <v>38</v>
      </c>
      <c r="B13" s="760"/>
      <c r="C13" s="99"/>
      <c r="D13" s="101">
        <v>315.24</v>
      </c>
      <c r="E13" s="105">
        <v>195</v>
      </c>
      <c r="F13" s="104"/>
      <c r="G13" s="105"/>
      <c r="H13" s="104"/>
      <c r="I13" s="105"/>
      <c r="J13" s="128"/>
      <c r="K13" s="105"/>
      <c r="L13" s="128">
        <v>25766.69</v>
      </c>
      <c r="M13" s="105">
        <v>38627</v>
      </c>
      <c r="N13" s="104"/>
      <c r="O13" s="105"/>
      <c r="P13" s="101">
        <v>824.87</v>
      </c>
      <c r="Q13" s="102">
        <v>869</v>
      </c>
      <c r="R13" s="101"/>
      <c r="S13" s="102"/>
      <c r="T13" s="101">
        <v>765.76</v>
      </c>
      <c r="U13" s="102">
        <v>878</v>
      </c>
      <c r="V13" s="128">
        <v>195601.21</v>
      </c>
      <c r="W13" s="105">
        <v>479977</v>
      </c>
      <c r="X13" s="767"/>
      <c r="Y13" s="102"/>
      <c r="Z13" s="767"/>
      <c r="AA13" s="102">
        <v>7050</v>
      </c>
      <c r="AB13" s="767"/>
      <c r="AC13" s="102"/>
      <c r="AD13" s="767"/>
      <c r="AE13" s="102"/>
      <c r="AF13" s="767"/>
      <c r="AG13" s="97"/>
      <c r="AH13" s="767"/>
      <c r="AI13" s="102"/>
      <c r="AJ13" s="767"/>
      <c r="AK13" s="102"/>
      <c r="AL13" s="767"/>
      <c r="AM13" s="906"/>
      <c r="AN13" s="743">
        <v>371501.12</v>
      </c>
      <c r="AO13" s="209">
        <v>413562</v>
      </c>
      <c r="AP13" s="778">
        <v>19.329999999999998</v>
      </c>
      <c r="AQ13" s="780">
        <v>43</v>
      </c>
      <c r="AR13" s="737"/>
      <c r="AS13" s="120"/>
      <c r="AT13" s="128"/>
      <c r="AU13" s="105"/>
      <c r="AV13" s="131">
        <f t="shared" si="2"/>
        <v>594794.22</v>
      </c>
      <c r="AW13" s="132">
        <f>SUM(C13+E13+G13+I13+K13+M13+O13+Q13+S13+U13+W13+Y13+AA13+AC13+AE13+AG13+AI13+AK13+AM13+AO13+AQ13+AS13+AU13)</f>
        <v>941201</v>
      </c>
      <c r="AX13" s="737"/>
      <c r="AY13" s="120"/>
      <c r="AZ13" s="131">
        <f t="shared" si="3"/>
        <v>594794.22</v>
      </c>
      <c r="BA13" s="132">
        <f t="shared" si="3"/>
        <v>941201</v>
      </c>
    </row>
    <row r="14" spans="1:53" s="98" customFormat="1" ht="14.25" x14ac:dyDescent="0.3">
      <c r="A14" s="414" t="s">
        <v>39</v>
      </c>
      <c r="B14" s="761">
        <v>755.65</v>
      </c>
      <c r="C14" s="134">
        <v>936</v>
      </c>
      <c r="D14" s="112">
        <v>561.20000000000005</v>
      </c>
      <c r="E14" s="125">
        <v>957</v>
      </c>
      <c r="F14" s="124">
        <v>20.51</v>
      </c>
      <c r="G14" s="125">
        <v>116</v>
      </c>
      <c r="H14" s="124">
        <v>1708.32</v>
      </c>
      <c r="I14" s="125">
        <v>1634</v>
      </c>
      <c r="J14" s="131">
        <v>318.58</v>
      </c>
      <c r="K14" s="125">
        <v>945</v>
      </c>
      <c r="L14" s="131"/>
      <c r="M14" s="125"/>
      <c r="N14" s="124"/>
      <c r="O14" s="125"/>
      <c r="P14" s="112"/>
      <c r="Q14" s="135"/>
      <c r="R14" s="112"/>
      <c r="S14" s="135"/>
      <c r="T14" s="112"/>
      <c r="U14" s="135">
        <v>3</v>
      </c>
      <c r="V14" s="131"/>
      <c r="W14" s="125"/>
      <c r="X14" s="768">
        <v>483</v>
      </c>
      <c r="Y14" s="135">
        <v>760</v>
      </c>
      <c r="Z14" s="770">
        <v>98.9</v>
      </c>
      <c r="AA14" s="106">
        <v>253</v>
      </c>
      <c r="AB14" s="768"/>
      <c r="AC14" s="135"/>
      <c r="AD14" s="773">
        <v>152.66</v>
      </c>
      <c r="AE14" s="774">
        <v>258</v>
      </c>
      <c r="AF14" s="768"/>
      <c r="AG14" s="97"/>
      <c r="AH14" s="768"/>
      <c r="AI14" s="135"/>
      <c r="AJ14" s="768">
        <v>32.950000000000003</v>
      </c>
      <c r="AK14" s="135">
        <v>50</v>
      </c>
      <c r="AL14" s="767"/>
      <c r="AM14" s="906"/>
      <c r="AN14" s="743">
        <v>1757.75</v>
      </c>
      <c r="AO14" s="209">
        <v>1662</v>
      </c>
      <c r="AP14" s="778">
        <v>414.24</v>
      </c>
      <c r="AQ14" s="780">
        <v>606</v>
      </c>
      <c r="AR14" s="737">
        <v>43.75</v>
      </c>
      <c r="AS14" s="120">
        <v>128</v>
      </c>
      <c r="AT14" s="131"/>
      <c r="AU14" s="125"/>
      <c r="AV14" s="131">
        <f t="shared" si="2"/>
        <v>6347.5099999999993</v>
      </c>
      <c r="AW14" s="132">
        <f>SUM(C14+E14+G14+I14+K14+M14+O14+Q14+S14+U14+W14+Y14+AA14+AC14+AE14+AG14+AI14+AK14+AM14+AO14+AQ14+AS14+AU14)</f>
        <v>8308</v>
      </c>
      <c r="AX14" s="131"/>
      <c r="AY14" s="125"/>
      <c r="AZ14" s="131">
        <f t="shared" si="3"/>
        <v>6347.5099999999993</v>
      </c>
      <c r="BA14" s="132">
        <f t="shared" si="3"/>
        <v>8308</v>
      </c>
    </row>
    <row r="15" spans="1:53" s="98" customFormat="1" ht="14.25" x14ac:dyDescent="0.3">
      <c r="A15" s="414" t="s">
        <v>40</v>
      </c>
      <c r="B15" s="760">
        <v>3.25</v>
      </c>
      <c r="C15" s="99">
        <v>37</v>
      </c>
      <c r="D15" s="101">
        <v>41.58</v>
      </c>
      <c r="E15" s="105">
        <v>88</v>
      </c>
      <c r="F15" s="104">
        <v>115</v>
      </c>
      <c r="G15" s="105">
        <v>280</v>
      </c>
      <c r="H15" s="104">
        <v>565.4</v>
      </c>
      <c r="I15" s="105">
        <v>706</v>
      </c>
      <c r="J15" s="128">
        <v>126.56</v>
      </c>
      <c r="K15" s="105">
        <v>162</v>
      </c>
      <c r="L15" s="128">
        <v>6.04</v>
      </c>
      <c r="M15" s="105">
        <v>30</v>
      </c>
      <c r="N15" s="104">
        <v>389.51</v>
      </c>
      <c r="O15" s="105">
        <v>411</v>
      </c>
      <c r="P15" s="101">
        <v>36.299999999999997</v>
      </c>
      <c r="Q15" s="102">
        <v>49</v>
      </c>
      <c r="R15" s="101"/>
      <c r="S15" s="102"/>
      <c r="T15" s="101">
        <v>114.54</v>
      </c>
      <c r="U15" s="102">
        <v>155</v>
      </c>
      <c r="V15" s="128">
        <v>2960.09</v>
      </c>
      <c r="W15" s="105">
        <v>3381</v>
      </c>
      <c r="X15" s="767">
        <v>11293.86</v>
      </c>
      <c r="Y15" s="102">
        <v>14299</v>
      </c>
      <c r="Z15" s="770"/>
      <c r="AA15" s="106"/>
      <c r="AB15" s="767">
        <v>160.12</v>
      </c>
      <c r="AC15" s="102">
        <v>165</v>
      </c>
      <c r="AD15" s="767">
        <v>2.65</v>
      </c>
      <c r="AE15" s="102">
        <v>44</v>
      </c>
      <c r="AF15" s="767">
        <v>2660.59</v>
      </c>
      <c r="AG15" s="97">
        <v>6284</v>
      </c>
      <c r="AH15" s="767">
        <v>501</v>
      </c>
      <c r="AI15" s="102">
        <v>662</v>
      </c>
      <c r="AJ15" s="767">
        <v>162.53</v>
      </c>
      <c r="AK15" s="102">
        <v>118</v>
      </c>
      <c r="AL15" s="767"/>
      <c r="AM15" s="906"/>
      <c r="AN15" s="743">
        <v>290.63</v>
      </c>
      <c r="AO15" s="209">
        <v>11149</v>
      </c>
      <c r="AP15" s="778"/>
      <c r="AQ15" s="780"/>
      <c r="AR15" s="737">
        <v>165.26</v>
      </c>
      <c r="AS15" s="120">
        <v>226</v>
      </c>
      <c r="AT15" s="128">
        <v>70.64</v>
      </c>
      <c r="AU15" s="105">
        <v>165</v>
      </c>
      <c r="AV15" s="131">
        <f t="shared" si="2"/>
        <v>19665.55</v>
      </c>
      <c r="AW15" s="132">
        <f>SUM(C15+E15+G15+I15+K15+M15+O15+Q15+S15+U15+W15+Y15+AA15+AC15+AE15+AG15+AI15+AK15+AM15+AO15+AQ15+AS15+AU15)</f>
        <v>38411</v>
      </c>
      <c r="AX15" s="128">
        <v>4145.99</v>
      </c>
      <c r="AY15" s="105">
        <f>1614+1442+1371+215</f>
        <v>4642</v>
      </c>
      <c r="AZ15" s="131">
        <f t="shared" si="3"/>
        <v>23811.54</v>
      </c>
      <c r="BA15" s="132">
        <f t="shared" si="3"/>
        <v>43053</v>
      </c>
    </row>
    <row r="16" spans="1:53" s="98" customFormat="1" ht="15" customHeight="1" x14ac:dyDescent="0.3">
      <c r="A16" s="414" t="s">
        <v>41</v>
      </c>
      <c r="B16" s="760"/>
      <c r="C16" s="99"/>
      <c r="D16" s="101"/>
      <c r="E16" s="105"/>
      <c r="F16" s="104"/>
      <c r="G16" s="105"/>
      <c r="H16" s="104"/>
      <c r="I16" s="105"/>
      <c r="J16" s="128"/>
      <c r="K16" s="105"/>
      <c r="L16" s="128"/>
      <c r="M16" s="105"/>
      <c r="N16" s="104"/>
      <c r="O16" s="105"/>
      <c r="P16" s="101"/>
      <c r="Q16" s="102"/>
      <c r="R16" s="101"/>
      <c r="S16" s="102"/>
      <c r="T16" s="101"/>
      <c r="U16" s="102"/>
      <c r="V16" s="128"/>
      <c r="W16" s="105"/>
      <c r="X16" s="767"/>
      <c r="Y16" s="102"/>
      <c r="Z16" s="770"/>
      <c r="AA16" s="106"/>
      <c r="AB16" s="767"/>
      <c r="AC16" s="102"/>
      <c r="AD16" s="767"/>
      <c r="AE16" s="102"/>
      <c r="AF16" s="767"/>
      <c r="AG16" s="97"/>
      <c r="AH16" s="767"/>
      <c r="AI16" s="102"/>
      <c r="AJ16" s="767"/>
      <c r="AK16" s="102"/>
      <c r="AL16" s="767"/>
      <c r="AM16" s="906"/>
      <c r="AN16" s="743"/>
      <c r="AO16" s="209"/>
      <c r="AP16" s="778"/>
      <c r="AQ16" s="780"/>
      <c r="AR16" s="737"/>
      <c r="AS16" s="120"/>
      <c r="AT16" s="128"/>
      <c r="AU16" s="105"/>
      <c r="AV16" s="131"/>
      <c r="AW16" s="132"/>
      <c r="AX16" s="128">
        <v>1357.87</v>
      </c>
      <c r="AY16" s="105">
        <v>2271</v>
      </c>
      <c r="AZ16" s="131">
        <f t="shared" ref="AZ16:AZ22" si="4">AV16+AX16</f>
        <v>1357.87</v>
      </c>
      <c r="BA16" s="132"/>
    </row>
    <row r="17" spans="1:53" s="98" customFormat="1" ht="14.25" x14ac:dyDescent="0.3">
      <c r="A17" s="414" t="s">
        <v>42</v>
      </c>
      <c r="B17" s="760"/>
      <c r="C17" s="99"/>
      <c r="D17" s="101"/>
      <c r="E17" s="105"/>
      <c r="F17" s="104"/>
      <c r="G17" s="105"/>
      <c r="H17" s="104"/>
      <c r="I17" s="105"/>
      <c r="J17" s="128"/>
      <c r="K17" s="105"/>
      <c r="L17" s="128"/>
      <c r="M17" s="105"/>
      <c r="N17" s="104"/>
      <c r="O17" s="105"/>
      <c r="P17" s="101"/>
      <c r="Q17" s="102"/>
      <c r="R17" s="101">
        <f>629+9987</f>
        <v>10616</v>
      </c>
      <c r="S17" s="102">
        <f>3098+12288</f>
        <v>15386</v>
      </c>
      <c r="T17" s="101"/>
      <c r="U17" s="102"/>
      <c r="V17" s="128"/>
      <c r="W17" s="105"/>
      <c r="X17" s="767"/>
      <c r="Y17" s="102"/>
      <c r="Z17" s="770"/>
      <c r="AA17" s="106"/>
      <c r="AB17" s="767"/>
      <c r="AC17" s="102"/>
      <c r="AD17" s="767"/>
      <c r="AE17" s="102"/>
      <c r="AF17" s="767">
        <v>114310.65</v>
      </c>
      <c r="AG17" s="97">
        <v>118129</v>
      </c>
      <c r="AH17" s="767"/>
      <c r="AI17" s="102"/>
      <c r="AJ17" s="767"/>
      <c r="AK17" s="102"/>
      <c r="AL17" s="767"/>
      <c r="AM17" s="906"/>
      <c r="AN17" s="743"/>
      <c r="AO17" s="209"/>
      <c r="AP17" s="778">
        <v>37.659999999999997</v>
      </c>
      <c r="AQ17" s="780">
        <v>39</v>
      </c>
      <c r="AR17" s="737"/>
      <c r="AS17" s="120"/>
      <c r="AT17" s="128"/>
      <c r="AU17" s="105"/>
      <c r="AV17" s="131">
        <f t="shared" ref="AV17:AW22" si="5">SUM(B17+D17+F17+H17+J17+L17+N17+P17+R17+T17+V17+X17+Z17+AB17+AD17+AF17+AH17+AJ17+AL17+AN17+AP17+AR17+AT17)</f>
        <v>124964.31</v>
      </c>
      <c r="AW17" s="132">
        <f t="shared" si="5"/>
        <v>133554</v>
      </c>
      <c r="AX17" s="128"/>
      <c r="AY17" s="105"/>
      <c r="AZ17" s="131">
        <f t="shared" si="4"/>
        <v>124964.31</v>
      </c>
      <c r="BA17" s="132">
        <f t="shared" ref="BA17:BA22" si="6">AW17+AY17</f>
        <v>133554</v>
      </c>
    </row>
    <row r="18" spans="1:53" s="98" customFormat="1" ht="14.25" x14ac:dyDescent="0.3">
      <c r="A18" s="414" t="s">
        <v>43</v>
      </c>
      <c r="B18" s="760"/>
      <c r="C18" s="99"/>
      <c r="D18" s="101"/>
      <c r="E18" s="105"/>
      <c r="F18" s="104"/>
      <c r="G18" s="105"/>
      <c r="H18" s="104"/>
      <c r="I18" s="105"/>
      <c r="J18" s="128"/>
      <c r="K18" s="105"/>
      <c r="L18" s="128"/>
      <c r="M18" s="105"/>
      <c r="N18" s="104"/>
      <c r="O18" s="105"/>
      <c r="P18" s="101"/>
      <c r="Q18" s="102"/>
      <c r="R18" s="101"/>
      <c r="S18" s="102"/>
      <c r="T18" s="101"/>
      <c r="U18" s="102"/>
      <c r="V18" s="128">
        <v>57711</v>
      </c>
      <c r="W18" s="105">
        <v>64097</v>
      </c>
      <c r="X18" s="767"/>
      <c r="Y18" s="102"/>
      <c r="Z18" s="770"/>
      <c r="AA18" s="106"/>
      <c r="AB18" s="767"/>
      <c r="AC18" s="102"/>
      <c r="AD18" s="767"/>
      <c r="AE18" s="102"/>
      <c r="AF18" s="767"/>
      <c r="AG18" s="97"/>
      <c r="AH18" s="767"/>
      <c r="AI18" s="102"/>
      <c r="AJ18" s="767"/>
      <c r="AK18" s="102"/>
      <c r="AL18" s="767"/>
      <c r="AM18" s="906"/>
      <c r="AN18" s="743"/>
      <c r="AO18" s="209"/>
      <c r="AP18" s="778"/>
      <c r="AQ18" s="780"/>
      <c r="AR18" s="737"/>
      <c r="AS18" s="120"/>
      <c r="AT18" s="128"/>
      <c r="AU18" s="105"/>
      <c r="AV18" s="131">
        <f t="shared" si="5"/>
        <v>57711</v>
      </c>
      <c r="AW18" s="132">
        <f t="shared" si="5"/>
        <v>64097</v>
      </c>
      <c r="AX18" s="128"/>
      <c r="AY18" s="105"/>
      <c r="AZ18" s="131">
        <f t="shared" si="4"/>
        <v>57711</v>
      </c>
      <c r="BA18" s="132">
        <f t="shared" si="6"/>
        <v>64097</v>
      </c>
    </row>
    <row r="19" spans="1:53" s="98" customFormat="1" ht="14.25" x14ac:dyDescent="0.3">
      <c r="A19" s="414" t="s">
        <v>44</v>
      </c>
      <c r="B19" s="760"/>
      <c r="C19" s="99"/>
      <c r="D19" s="101"/>
      <c r="E19" s="105"/>
      <c r="F19" s="104"/>
      <c r="G19" s="105"/>
      <c r="H19" s="104"/>
      <c r="I19" s="105"/>
      <c r="J19" s="128"/>
      <c r="K19" s="105"/>
      <c r="L19" s="128"/>
      <c r="M19" s="105"/>
      <c r="N19" s="104"/>
      <c r="O19" s="105"/>
      <c r="P19" s="101"/>
      <c r="Q19" s="102"/>
      <c r="R19" s="101"/>
      <c r="S19" s="102"/>
      <c r="T19" s="101"/>
      <c r="U19" s="102"/>
      <c r="V19" s="128">
        <v>1988.92</v>
      </c>
      <c r="W19" s="105">
        <v>2106</v>
      </c>
      <c r="X19" s="767"/>
      <c r="Y19" s="102"/>
      <c r="Z19" s="770"/>
      <c r="AA19" s="106"/>
      <c r="AB19" s="767"/>
      <c r="AC19" s="102"/>
      <c r="AD19" s="767"/>
      <c r="AE19" s="102"/>
      <c r="AF19" s="767"/>
      <c r="AG19" s="97"/>
      <c r="AH19" s="767"/>
      <c r="AI19" s="102"/>
      <c r="AJ19" s="767"/>
      <c r="AK19" s="102"/>
      <c r="AL19" s="767"/>
      <c r="AM19" s="906"/>
      <c r="AN19" s="743"/>
      <c r="AO19" s="209"/>
      <c r="AP19" s="778"/>
      <c r="AQ19" s="780"/>
      <c r="AR19" s="737"/>
      <c r="AS19" s="120"/>
      <c r="AT19" s="128"/>
      <c r="AU19" s="105"/>
      <c r="AV19" s="131">
        <f t="shared" si="5"/>
        <v>1988.92</v>
      </c>
      <c r="AW19" s="132">
        <f t="shared" si="5"/>
        <v>2106</v>
      </c>
      <c r="AX19" s="128"/>
      <c r="AY19" s="105"/>
      <c r="AZ19" s="131">
        <f t="shared" si="4"/>
        <v>1988.92</v>
      </c>
      <c r="BA19" s="132">
        <f t="shared" si="6"/>
        <v>2106</v>
      </c>
    </row>
    <row r="20" spans="1:53" s="98" customFormat="1" ht="14.25" x14ac:dyDescent="0.3">
      <c r="A20" s="414" t="s">
        <v>45</v>
      </c>
      <c r="B20" s="760"/>
      <c r="C20" s="99"/>
      <c r="D20" s="101">
        <v>101.63</v>
      </c>
      <c r="E20" s="105">
        <v>107</v>
      </c>
      <c r="F20" s="104">
        <v>736.56</v>
      </c>
      <c r="G20" s="105">
        <v>641</v>
      </c>
      <c r="H20" s="104">
        <v>1718.26</v>
      </c>
      <c r="I20" s="105">
        <v>1165</v>
      </c>
      <c r="J20" s="128"/>
      <c r="K20" s="105"/>
      <c r="L20" s="128"/>
      <c r="M20" s="105"/>
      <c r="N20" s="104">
        <v>78.44</v>
      </c>
      <c r="O20" s="105">
        <v>84</v>
      </c>
      <c r="P20" s="101">
        <v>11.13</v>
      </c>
      <c r="Q20" s="102">
        <v>13</v>
      </c>
      <c r="R20" s="101"/>
      <c r="S20" s="102"/>
      <c r="T20" s="101"/>
      <c r="U20" s="102"/>
      <c r="V20" s="128">
        <v>2632.34</v>
      </c>
      <c r="W20" s="105">
        <v>2595</v>
      </c>
      <c r="X20" s="767">
        <v>4134.6400000000003</v>
      </c>
      <c r="Y20" s="102">
        <v>3858</v>
      </c>
      <c r="Z20" s="770"/>
      <c r="AA20" s="106"/>
      <c r="AB20" s="767"/>
      <c r="AC20" s="102"/>
      <c r="AD20" s="767"/>
      <c r="AE20" s="102"/>
      <c r="AF20" s="767"/>
      <c r="AG20" s="97"/>
      <c r="AH20" s="767"/>
      <c r="AI20" s="102"/>
      <c r="AJ20" s="767"/>
      <c r="AK20" s="102"/>
      <c r="AL20" s="767"/>
      <c r="AM20" s="906"/>
      <c r="AN20" s="743">
        <v>1305.43</v>
      </c>
      <c r="AO20" s="209">
        <v>1198</v>
      </c>
      <c r="AP20" s="778"/>
      <c r="AQ20" s="780"/>
      <c r="AR20" s="737"/>
      <c r="AS20" s="120"/>
      <c r="AT20" s="128">
        <v>467.03</v>
      </c>
      <c r="AU20" s="105">
        <v>432</v>
      </c>
      <c r="AV20" s="131">
        <f t="shared" si="5"/>
        <v>11185.460000000001</v>
      </c>
      <c r="AW20" s="132">
        <f t="shared" si="5"/>
        <v>10093</v>
      </c>
      <c r="AX20" s="128">
        <v>85056.37</v>
      </c>
      <c r="AY20" s="105">
        <v>77013</v>
      </c>
      <c r="AZ20" s="131">
        <f t="shared" si="4"/>
        <v>96241.83</v>
      </c>
      <c r="BA20" s="132">
        <f t="shared" si="6"/>
        <v>87106</v>
      </c>
    </row>
    <row r="21" spans="1:53" s="98" customFormat="1" ht="14.25" x14ac:dyDescent="0.3">
      <c r="A21" s="414" t="s">
        <v>46</v>
      </c>
      <c r="B21" s="760"/>
      <c r="C21" s="99"/>
      <c r="D21" s="101"/>
      <c r="E21" s="105"/>
      <c r="F21" s="104"/>
      <c r="G21" s="105"/>
      <c r="H21" s="104"/>
      <c r="I21" s="105"/>
      <c r="J21" s="128"/>
      <c r="K21" s="105"/>
      <c r="L21" s="128"/>
      <c r="M21" s="105"/>
      <c r="N21" s="104">
        <v>76.959999999999994</v>
      </c>
      <c r="O21" s="105">
        <v>61</v>
      </c>
      <c r="P21" s="101"/>
      <c r="Q21" s="102"/>
      <c r="R21" s="101"/>
      <c r="S21" s="102"/>
      <c r="T21" s="101">
        <v>81.75</v>
      </c>
      <c r="U21" s="102">
        <v>88</v>
      </c>
      <c r="V21" s="128"/>
      <c r="W21" s="105"/>
      <c r="X21" s="767"/>
      <c r="Y21" s="102"/>
      <c r="Z21" s="770"/>
      <c r="AA21" s="106"/>
      <c r="AB21" s="767">
        <v>72.3</v>
      </c>
      <c r="AC21" s="102">
        <v>114</v>
      </c>
      <c r="AD21" s="767"/>
      <c r="AE21" s="102"/>
      <c r="AF21" s="767"/>
      <c r="AG21" s="97"/>
      <c r="AH21" s="767"/>
      <c r="AI21" s="102"/>
      <c r="AJ21" s="767">
        <v>82.35</v>
      </c>
      <c r="AK21" s="102">
        <v>70</v>
      </c>
      <c r="AL21" s="767"/>
      <c r="AM21" s="906"/>
      <c r="AN21" s="103"/>
      <c r="AO21" s="209"/>
      <c r="AP21" s="778"/>
      <c r="AQ21" s="780"/>
      <c r="AR21" s="737"/>
      <c r="AS21" s="120"/>
      <c r="AT21" s="128"/>
      <c r="AU21" s="105"/>
      <c r="AV21" s="131">
        <f t="shared" si="5"/>
        <v>313.36</v>
      </c>
      <c r="AW21" s="132">
        <f t="shared" si="5"/>
        <v>333</v>
      </c>
      <c r="AX21" s="128"/>
      <c r="AY21" s="105"/>
      <c r="AZ21" s="131">
        <f t="shared" si="4"/>
        <v>313.36</v>
      </c>
      <c r="BA21" s="132">
        <f t="shared" si="6"/>
        <v>333</v>
      </c>
    </row>
    <row r="22" spans="1:53" s="98" customFormat="1" ht="14.25" x14ac:dyDescent="0.3">
      <c r="A22" s="414" t="s">
        <v>47</v>
      </c>
      <c r="B22" s="760"/>
      <c r="C22" s="99"/>
      <c r="D22" s="101"/>
      <c r="E22" s="105"/>
      <c r="F22" s="104"/>
      <c r="G22" s="105"/>
      <c r="H22" s="104">
        <v>1701.44</v>
      </c>
      <c r="I22" s="105">
        <v>681</v>
      </c>
      <c r="J22" s="128"/>
      <c r="K22" s="105"/>
      <c r="L22" s="128"/>
      <c r="M22" s="105"/>
      <c r="N22" s="104">
        <v>86.12</v>
      </c>
      <c r="O22" s="105">
        <v>168</v>
      </c>
      <c r="P22" s="101"/>
      <c r="Q22" s="102"/>
      <c r="R22" s="101"/>
      <c r="S22" s="102"/>
      <c r="T22" s="133">
        <f>4797.41+6598.43+78.93</f>
        <v>11474.77</v>
      </c>
      <c r="U22" s="155">
        <f>115+4494+3608</f>
        <v>8217</v>
      </c>
      <c r="V22" s="128"/>
      <c r="W22" s="105"/>
      <c r="X22" s="767"/>
      <c r="Y22" s="102"/>
      <c r="Z22" s="770">
        <v>16.399999999999999</v>
      </c>
      <c r="AA22" s="106">
        <v>40</v>
      </c>
      <c r="AB22" s="767"/>
      <c r="AC22" s="102"/>
      <c r="AD22" s="767">
        <f>55.52+145</f>
        <v>200.52</v>
      </c>
      <c r="AE22" s="102">
        <f>170+173</f>
        <v>343</v>
      </c>
      <c r="AF22" s="767">
        <v>3068.94</v>
      </c>
      <c r="AG22" s="97">
        <v>5415</v>
      </c>
      <c r="AH22" s="767"/>
      <c r="AI22" s="102"/>
      <c r="AJ22" s="767">
        <v>1330.83</v>
      </c>
      <c r="AK22" s="102">
        <v>1193</v>
      </c>
      <c r="AL22" s="767"/>
      <c r="AM22" s="906"/>
      <c r="AN22" s="743">
        <v>350.52</v>
      </c>
      <c r="AO22" s="209">
        <v>538</v>
      </c>
      <c r="AP22" s="778">
        <v>185.36</v>
      </c>
      <c r="AQ22" s="780">
        <v>205</v>
      </c>
      <c r="AR22" s="737">
        <v>18343.25</v>
      </c>
      <c r="AS22" s="120">
        <f>10664+38+105+161+241</f>
        <v>11209</v>
      </c>
      <c r="AT22" s="128">
        <v>7.51</v>
      </c>
      <c r="AU22" s="105"/>
      <c r="AV22" s="131">
        <f t="shared" si="5"/>
        <v>36765.659999999996</v>
      </c>
      <c r="AW22" s="132">
        <f t="shared" si="5"/>
        <v>28009</v>
      </c>
      <c r="AX22" s="128">
        <v>602.66</v>
      </c>
      <c r="AY22" s="105">
        <v>611</v>
      </c>
      <c r="AZ22" s="131">
        <f t="shared" si="4"/>
        <v>37368.32</v>
      </c>
      <c r="BA22" s="132">
        <f t="shared" si="6"/>
        <v>28620</v>
      </c>
    </row>
    <row r="23" spans="1:53" s="98" customFormat="1" ht="14.25" x14ac:dyDescent="0.3">
      <c r="A23" s="414" t="s">
        <v>48</v>
      </c>
      <c r="B23" s="760"/>
      <c r="C23" s="99"/>
      <c r="D23" s="101"/>
      <c r="E23" s="105"/>
      <c r="F23" s="104"/>
      <c r="G23" s="105"/>
      <c r="H23" s="104"/>
      <c r="I23" s="105"/>
      <c r="J23" s="128"/>
      <c r="K23" s="105"/>
      <c r="L23" s="128"/>
      <c r="M23" s="105"/>
      <c r="N23" s="104"/>
      <c r="O23" s="105"/>
      <c r="P23" s="101"/>
      <c r="Q23" s="102"/>
      <c r="R23" s="101"/>
      <c r="S23" s="102"/>
      <c r="T23" s="101"/>
      <c r="U23" s="102"/>
      <c r="V23" s="128"/>
      <c r="W23" s="105"/>
      <c r="X23" s="767"/>
      <c r="Y23" s="102"/>
      <c r="Z23" s="770"/>
      <c r="AA23" s="106"/>
      <c r="AB23" s="767"/>
      <c r="AC23" s="102"/>
      <c r="AD23" s="767"/>
      <c r="AE23" s="102"/>
      <c r="AF23" s="767"/>
      <c r="AG23" s="97"/>
      <c r="AH23" s="767"/>
      <c r="AI23" s="102"/>
      <c r="AJ23" s="767"/>
      <c r="AK23" s="102"/>
      <c r="AL23" s="767"/>
      <c r="AM23" s="906"/>
      <c r="AN23" s="103"/>
      <c r="AO23" s="105"/>
      <c r="AP23" s="778"/>
      <c r="AQ23" s="780"/>
      <c r="AR23" s="737"/>
      <c r="AS23" s="120"/>
      <c r="AT23" s="128"/>
      <c r="AU23" s="105"/>
      <c r="AV23" s="131"/>
      <c r="AW23" s="132"/>
      <c r="AX23" s="128"/>
      <c r="AY23" s="105"/>
      <c r="AZ23" s="131"/>
      <c r="BA23" s="132"/>
    </row>
    <row r="24" spans="1:53" s="98" customFormat="1" ht="14.25" x14ac:dyDescent="0.3">
      <c r="A24" s="414" t="s">
        <v>31</v>
      </c>
      <c r="B24" s="761">
        <v>-31941.23</v>
      </c>
      <c r="C24" s="134">
        <v>-68785</v>
      </c>
      <c r="D24" s="112">
        <v>-8445.57</v>
      </c>
      <c r="E24" s="125">
        <v>-22801</v>
      </c>
      <c r="F24" s="124">
        <v>-6380.75</v>
      </c>
      <c r="G24" s="125">
        <v>-19965</v>
      </c>
      <c r="H24" s="124">
        <v>-10504.73</v>
      </c>
      <c r="I24" s="125">
        <v>-31840</v>
      </c>
      <c r="J24" s="131">
        <v>-3271.53</v>
      </c>
      <c r="K24" s="125">
        <v>-10358</v>
      </c>
      <c r="L24" s="131">
        <v>-8838.2900000000009</v>
      </c>
      <c r="M24" s="125">
        <v>-16534</v>
      </c>
      <c r="N24" s="124">
        <v>-11295.86</v>
      </c>
      <c r="O24" s="125">
        <v>-12303</v>
      </c>
      <c r="P24" s="112">
        <v>-5160.82</v>
      </c>
      <c r="Q24" s="135">
        <v>-13193</v>
      </c>
      <c r="R24" s="112">
        <v>-9311.6200000000008</v>
      </c>
      <c r="S24" s="135">
        <v>-27855</v>
      </c>
      <c r="T24" s="112">
        <v>-7758.36</v>
      </c>
      <c r="U24" s="135">
        <v>-14794</v>
      </c>
      <c r="V24" s="131">
        <v>-64098.71</v>
      </c>
      <c r="W24" s="125">
        <v>-147641</v>
      </c>
      <c r="X24" s="768">
        <v>-90387.87</v>
      </c>
      <c r="Y24" s="135">
        <v>-202039</v>
      </c>
      <c r="Z24" s="770">
        <v>-3559.42</v>
      </c>
      <c r="AA24" s="106">
        <v>-4862</v>
      </c>
      <c r="AB24" s="768">
        <v>-14636.99</v>
      </c>
      <c r="AC24" s="135">
        <v>-33651</v>
      </c>
      <c r="AD24" s="773">
        <v>-20651.689999999999</v>
      </c>
      <c r="AE24" s="774">
        <v>-54570</v>
      </c>
      <c r="AF24" s="768">
        <v>-34015.56</v>
      </c>
      <c r="AG24" s="97">
        <v>-120572</v>
      </c>
      <c r="AH24" s="768">
        <v>-20493</v>
      </c>
      <c r="AI24" s="135">
        <v>-72230</v>
      </c>
      <c r="AJ24" s="768">
        <v>-2601.08</v>
      </c>
      <c r="AK24" s="135">
        <v>-5777</v>
      </c>
      <c r="AL24" s="767"/>
      <c r="AM24" s="906"/>
      <c r="AN24" s="743">
        <v>-40476.54</v>
      </c>
      <c r="AO24" s="209">
        <v>-78577</v>
      </c>
      <c r="AP24" s="778">
        <v>-678.55</v>
      </c>
      <c r="AQ24" s="780">
        <v>-1802</v>
      </c>
      <c r="AR24" s="737">
        <v>-7685.77</v>
      </c>
      <c r="AS24" s="120">
        <v>-20431</v>
      </c>
      <c r="AT24" s="131">
        <v>-32677.14</v>
      </c>
      <c r="AU24" s="125">
        <v>-101388</v>
      </c>
      <c r="AV24" s="131">
        <f>SUM(B24+D24+F24+H24+J24+L24+N24+P24+R24+T24+V24+X24+Z24+AB24+AD24+AF24+AH24+AJ24+AL24+AN24+AP24+AR24+AT24)</f>
        <v>-434871.08</v>
      </c>
      <c r="AW24" s="132">
        <f>SUM(C24+E24+G24+I24+K24+M24+O24+Q24+S24+U24+W24+Y24+AA24+AC24+AE24+AG24+AI24+AK24+AM24+AO24+AQ24+AS24+AU24)</f>
        <v>-1081968</v>
      </c>
      <c r="AX24" s="131">
        <v>-44057.5</v>
      </c>
      <c r="AY24" s="125">
        <v>-85820</v>
      </c>
      <c r="AZ24" s="131">
        <f>AV24+AX24</f>
        <v>-478928.58</v>
      </c>
      <c r="BA24" s="132">
        <f>AW24+AY24</f>
        <v>-1167788</v>
      </c>
    </row>
    <row r="25" spans="1:53" s="98" customFormat="1" ht="14.25" x14ac:dyDescent="0.3">
      <c r="A25" s="414" t="s">
        <v>32</v>
      </c>
      <c r="B25" s="760"/>
      <c r="C25" s="99"/>
      <c r="D25" s="101"/>
      <c r="E25" s="105"/>
      <c r="F25" s="104"/>
      <c r="G25" s="105"/>
      <c r="H25" s="104"/>
      <c r="I25" s="105"/>
      <c r="J25" s="128"/>
      <c r="K25" s="105"/>
      <c r="L25" s="128"/>
      <c r="M25" s="105"/>
      <c r="N25" s="104"/>
      <c r="O25" s="105"/>
      <c r="P25" s="101"/>
      <c r="Q25" s="102"/>
      <c r="R25" s="101"/>
      <c r="S25" s="102"/>
      <c r="T25" s="101"/>
      <c r="U25" s="102"/>
      <c r="V25" s="128"/>
      <c r="W25" s="105"/>
      <c r="X25" s="767"/>
      <c r="Y25" s="102"/>
      <c r="Z25" s="770"/>
      <c r="AA25" s="106"/>
      <c r="AB25" s="767"/>
      <c r="AC25" s="102"/>
      <c r="AD25" s="767"/>
      <c r="AE25" s="102"/>
      <c r="AF25" s="767"/>
      <c r="AG25" s="97"/>
      <c r="AH25" s="767"/>
      <c r="AI25" s="102"/>
      <c r="AJ25" s="767"/>
      <c r="AK25" s="102"/>
      <c r="AL25" s="767"/>
      <c r="AM25" s="906"/>
      <c r="AN25" s="103"/>
      <c r="AO25" s="105"/>
      <c r="AP25" s="778"/>
      <c r="AQ25" s="780"/>
      <c r="AR25" s="737"/>
      <c r="AS25" s="120"/>
      <c r="AT25" s="128"/>
      <c r="AU25" s="105"/>
      <c r="AV25" s="131"/>
      <c r="AW25" s="132"/>
      <c r="AX25" s="737"/>
      <c r="AY25" s="120"/>
      <c r="AZ25" s="131"/>
      <c r="BA25" s="132"/>
    </row>
    <row r="26" spans="1:53" s="98" customFormat="1" ht="14.25" x14ac:dyDescent="0.3">
      <c r="A26" s="414" t="s">
        <v>49</v>
      </c>
      <c r="B26" s="760"/>
      <c r="C26" s="99"/>
      <c r="D26" s="101"/>
      <c r="E26" s="105"/>
      <c r="F26" s="104"/>
      <c r="G26" s="105"/>
      <c r="H26" s="104"/>
      <c r="I26" s="105"/>
      <c r="J26" s="128"/>
      <c r="K26" s="105"/>
      <c r="L26" s="128"/>
      <c r="M26" s="105"/>
      <c r="N26" s="104"/>
      <c r="O26" s="105"/>
      <c r="P26" s="101"/>
      <c r="Q26" s="102"/>
      <c r="R26" s="101"/>
      <c r="S26" s="102"/>
      <c r="T26" s="101"/>
      <c r="U26" s="102"/>
      <c r="V26" s="128"/>
      <c r="W26" s="105"/>
      <c r="X26" s="767"/>
      <c r="Y26" s="102"/>
      <c r="Z26" s="770"/>
      <c r="AA26" s="106"/>
      <c r="AB26" s="767"/>
      <c r="AC26" s="102"/>
      <c r="AD26" s="767"/>
      <c r="AE26" s="102"/>
      <c r="AF26" s="767"/>
      <c r="AG26" s="97"/>
      <c r="AH26" s="767"/>
      <c r="AI26" s="102"/>
      <c r="AJ26" s="767"/>
      <c r="AK26" s="102"/>
      <c r="AL26" s="767"/>
      <c r="AM26" s="906"/>
      <c r="AN26" s="103"/>
      <c r="AO26" s="105"/>
      <c r="AP26" s="778"/>
      <c r="AQ26" s="780"/>
      <c r="AR26" s="737"/>
      <c r="AS26" s="120"/>
      <c r="AT26" s="128"/>
      <c r="AU26" s="105"/>
      <c r="AV26" s="131"/>
      <c r="AW26" s="132"/>
      <c r="AX26" s="737"/>
      <c r="AY26" s="120"/>
      <c r="AZ26" s="131"/>
      <c r="BA26" s="132"/>
    </row>
    <row r="27" spans="1:53" s="98" customFormat="1" ht="14.25" x14ac:dyDescent="0.3">
      <c r="A27" s="414" t="s">
        <v>50</v>
      </c>
      <c r="B27" s="760">
        <v>-190.21</v>
      </c>
      <c r="C27" s="99">
        <v>-261</v>
      </c>
      <c r="D27" s="101">
        <v>-20.02</v>
      </c>
      <c r="E27" s="105">
        <v>-44</v>
      </c>
      <c r="F27" s="104"/>
      <c r="G27" s="105"/>
      <c r="H27" s="104">
        <v>-10.85</v>
      </c>
      <c r="I27" s="105">
        <v>-9</v>
      </c>
      <c r="J27" s="128">
        <v>-35.96</v>
      </c>
      <c r="K27" s="105">
        <v>-67</v>
      </c>
      <c r="L27" s="128"/>
      <c r="M27" s="105"/>
      <c r="N27" s="104">
        <v>-5</v>
      </c>
      <c r="O27" s="105">
        <v>-9</v>
      </c>
      <c r="P27" s="101">
        <v>-48.62</v>
      </c>
      <c r="Q27" s="102">
        <v>-60</v>
      </c>
      <c r="R27" s="101"/>
      <c r="S27" s="102"/>
      <c r="T27" s="101">
        <v>-46.42</v>
      </c>
      <c r="U27" s="102">
        <v>-79</v>
      </c>
      <c r="V27" s="128">
        <v>-2056.4699999999998</v>
      </c>
      <c r="W27" s="105">
        <v>-2348</v>
      </c>
      <c r="X27" s="767">
        <v>-5212.47</v>
      </c>
      <c r="Y27" s="102">
        <v>-7135</v>
      </c>
      <c r="Z27" s="770">
        <v>-0.59</v>
      </c>
      <c r="AA27" s="106"/>
      <c r="AB27" s="767">
        <v>-77.34</v>
      </c>
      <c r="AC27" s="102">
        <v>-69</v>
      </c>
      <c r="AD27" s="767"/>
      <c r="AE27" s="102">
        <v>-32</v>
      </c>
      <c r="AF27" s="767">
        <v>-698.08</v>
      </c>
      <c r="AG27" s="97">
        <v>-723</v>
      </c>
      <c r="AH27" s="767">
        <v>-189</v>
      </c>
      <c r="AI27" s="102">
        <v>-168</v>
      </c>
      <c r="AJ27" s="767">
        <v>-38.35</v>
      </c>
      <c r="AK27" s="102">
        <v>-13</v>
      </c>
      <c r="AL27" s="767"/>
      <c r="AM27" s="906"/>
      <c r="AN27" s="743">
        <v>-40.94</v>
      </c>
      <c r="AO27" s="209">
        <v>-76</v>
      </c>
      <c r="AP27" s="778"/>
      <c r="AQ27" s="780"/>
      <c r="AR27" s="737">
        <v>-84.45</v>
      </c>
      <c r="AS27" s="120"/>
      <c r="AT27" s="128"/>
      <c r="AU27" s="105"/>
      <c r="AV27" s="131">
        <f>SUM(B27+D27+F27+H27+J27+L27+N27+P27+R27+T27+V27+X27+Z27+AB27+AD27+AF27+AH27+AJ27+AL27+AN27+AP27+AR27+AT27)</f>
        <v>-8754.7700000000023</v>
      </c>
      <c r="AW27" s="132">
        <f>SUM(C27+E27+G27+I27+K27+M27+O27+Q27+S27+U27+W27+Y27+AA27+AC27+AE27+AG27+AI27+AK27+AM27+AO27+AQ27+AS27+AU27)</f>
        <v>-11093</v>
      </c>
      <c r="AX27" s="737">
        <v>-2650.4</v>
      </c>
      <c r="AY27" s="120">
        <v>-2987</v>
      </c>
      <c r="AZ27" s="131">
        <f>AV27+AX27</f>
        <v>-11405.170000000002</v>
      </c>
      <c r="BA27" s="132">
        <f>AW27+AY27</f>
        <v>-14080</v>
      </c>
    </row>
    <row r="28" spans="1:53" s="98" customFormat="1" ht="14.25" x14ac:dyDescent="0.3">
      <c r="A28" s="414" t="s">
        <v>51</v>
      </c>
      <c r="B28" s="760"/>
      <c r="C28" s="99"/>
      <c r="D28" s="101">
        <v>-141.22</v>
      </c>
      <c r="E28" s="105">
        <v>-288</v>
      </c>
      <c r="F28" s="104"/>
      <c r="G28" s="105"/>
      <c r="H28" s="104">
        <v>16.940000000000001</v>
      </c>
      <c r="I28" s="105">
        <v>-10</v>
      </c>
      <c r="J28" s="128"/>
      <c r="K28" s="105"/>
      <c r="L28" s="128"/>
      <c r="M28" s="105"/>
      <c r="N28" s="104"/>
      <c r="O28" s="105"/>
      <c r="P28" s="101"/>
      <c r="Q28" s="102"/>
      <c r="R28" s="101"/>
      <c r="S28" s="102"/>
      <c r="T28" s="101"/>
      <c r="U28" s="102"/>
      <c r="V28" s="128"/>
      <c r="W28" s="105"/>
      <c r="X28" s="767"/>
      <c r="Y28" s="102">
        <v>-29</v>
      </c>
      <c r="Z28" s="770"/>
      <c r="AA28" s="106"/>
      <c r="AB28" s="767"/>
      <c r="AC28" s="102"/>
      <c r="AD28" s="767">
        <v>-4.84</v>
      </c>
      <c r="AE28" s="102">
        <v>-31</v>
      </c>
      <c r="AF28" s="767"/>
      <c r="AG28" s="102"/>
      <c r="AH28" s="767"/>
      <c r="AI28" s="102"/>
      <c r="AJ28" s="767"/>
      <c r="AK28" s="102"/>
      <c r="AL28" s="767"/>
      <c r="AM28" s="906"/>
      <c r="AN28" s="743"/>
      <c r="AO28" s="209"/>
      <c r="AP28" s="778"/>
      <c r="AQ28" s="780"/>
      <c r="AR28" s="737"/>
      <c r="AS28" s="120"/>
      <c r="AT28" s="128"/>
      <c r="AU28" s="105"/>
      <c r="AV28" s="131">
        <f>SUM(B28+D28+F28+H28+J28+L28+N28+P28+R28+T28+V28+X28+Z28+AB28+AD28+AF28+AH28+AJ28+AL28+AN28+AP28+AR28+AT28)</f>
        <v>-129.12</v>
      </c>
      <c r="AW28" s="132">
        <f>SUM(C28+E28+G28+I28+K28+M28+O28+Q28+S28+U28+W28+Y28+AA28+AC28+AE28+AG28+AI28+AK28+AM28+AO28+AQ28+AS28+AU28)</f>
        <v>-358</v>
      </c>
      <c r="AX28" s="737"/>
      <c r="AY28" s="120"/>
      <c r="AZ28" s="131">
        <f>AV28+AX28</f>
        <v>-129.12</v>
      </c>
      <c r="BA28" s="132">
        <f>AW28+AY28</f>
        <v>-358</v>
      </c>
    </row>
    <row r="29" spans="1:53" s="98" customFormat="1" ht="14.25" x14ac:dyDescent="0.3">
      <c r="A29" s="414" t="s">
        <v>52</v>
      </c>
      <c r="B29" s="761"/>
      <c r="C29" s="134"/>
      <c r="D29" s="112"/>
      <c r="E29" s="125"/>
      <c r="F29" s="124"/>
      <c r="G29" s="125"/>
      <c r="H29" s="124"/>
      <c r="I29" s="125"/>
      <c r="J29" s="131"/>
      <c r="K29" s="125"/>
      <c r="L29" s="131"/>
      <c r="M29" s="125"/>
      <c r="N29" s="124"/>
      <c r="O29" s="125"/>
      <c r="P29" s="112"/>
      <c r="Q29" s="135"/>
      <c r="R29" s="112"/>
      <c r="S29" s="135"/>
      <c r="T29" s="112"/>
      <c r="U29" s="135"/>
      <c r="V29" s="131"/>
      <c r="W29" s="125"/>
      <c r="X29" s="768"/>
      <c r="Y29" s="135"/>
      <c r="Z29" s="770"/>
      <c r="AA29" s="106"/>
      <c r="AB29" s="768"/>
      <c r="AC29" s="135"/>
      <c r="AD29" s="773"/>
      <c r="AE29" s="774"/>
      <c r="AF29" s="768"/>
      <c r="AG29" s="135"/>
      <c r="AH29" s="768"/>
      <c r="AI29" s="135"/>
      <c r="AJ29" s="768"/>
      <c r="AK29" s="135"/>
      <c r="AL29" s="767"/>
      <c r="AM29" s="906"/>
      <c r="AN29" s="103"/>
      <c r="AO29" s="105"/>
      <c r="AP29" s="778"/>
      <c r="AQ29" s="780"/>
      <c r="AR29" s="737"/>
      <c r="AS29" s="120"/>
      <c r="AT29" s="131"/>
      <c r="AU29" s="125"/>
      <c r="AV29" s="131"/>
      <c r="AW29" s="132"/>
      <c r="AX29" s="131"/>
      <c r="AY29" s="125"/>
      <c r="AZ29" s="131"/>
      <c r="BA29" s="132"/>
    </row>
    <row r="30" spans="1:53" s="98" customFormat="1" ht="14.25" x14ac:dyDescent="0.3">
      <c r="A30" s="414" t="s">
        <v>31</v>
      </c>
      <c r="B30" s="760"/>
      <c r="C30" s="99"/>
      <c r="D30" s="101"/>
      <c r="E30" s="105"/>
      <c r="F30" s="104"/>
      <c r="G30" s="105"/>
      <c r="H30" s="104"/>
      <c r="I30" s="105"/>
      <c r="J30" s="128"/>
      <c r="K30" s="105"/>
      <c r="L30" s="128"/>
      <c r="M30" s="105"/>
      <c r="N30" s="104"/>
      <c r="O30" s="105"/>
      <c r="P30" s="101"/>
      <c r="Q30" s="102"/>
      <c r="R30" s="101"/>
      <c r="S30" s="102"/>
      <c r="T30" s="101"/>
      <c r="U30" s="102"/>
      <c r="V30" s="128"/>
      <c r="W30" s="105"/>
      <c r="X30" s="767"/>
      <c r="Y30" s="102"/>
      <c r="Z30" s="770"/>
      <c r="AA30" s="106"/>
      <c r="AB30" s="767"/>
      <c r="AC30" s="102"/>
      <c r="AD30" s="767"/>
      <c r="AE30" s="102"/>
      <c r="AF30" s="767"/>
      <c r="AG30" s="102"/>
      <c r="AH30" s="767"/>
      <c r="AI30" s="102"/>
      <c r="AJ30" s="767"/>
      <c r="AK30" s="102"/>
      <c r="AL30" s="767"/>
      <c r="AM30" s="906"/>
      <c r="AN30" s="103"/>
      <c r="AO30" s="105"/>
      <c r="AP30" s="778"/>
      <c r="AQ30" s="780"/>
      <c r="AR30" s="737"/>
      <c r="AS30" s="120"/>
      <c r="AT30" s="128"/>
      <c r="AU30" s="105"/>
      <c r="AV30" s="131">
        <f>SUM(B30+D30+F30+H30+J30+L30+N30+P30+R30+T30+V30+X30+Z30+AB30+AD30+AF30+AH30+AJ30+AL30+AN30+AP30+AR30+AT30)</f>
        <v>0</v>
      </c>
      <c r="AW30" s="132">
        <f>SUM(C30+E30+G30+I30+K30+M30+O30+Q30+S30+U30+W30+Y30+AA30+AC30+AE30+AG30+AI30+AK30+AM30+AO30+AQ30+AS30+AU30)</f>
        <v>0</v>
      </c>
      <c r="AX30" s="737"/>
      <c r="AY30" s="120"/>
      <c r="AZ30" s="131">
        <f>AV30+AX30</f>
        <v>0</v>
      </c>
      <c r="BA30" s="132">
        <f>AW30+AY30</f>
        <v>0</v>
      </c>
    </row>
    <row r="31" spans="1:53" s="98" customFormat="1" ht="14.25" x14ac:dyDescent="0.3">
      <c r="A31" s="414" t="s">
        <v>32</v>
      </c>
      <c r="B31" s="760"/>
      <c r="C31" s="99"/>
      <c r="D31" s="101"/>
      <c r="E31" s="105"/>
      <c r="F31" s="104"/>
      <c r="G31" s="105"/>
      <c r="H31" s="104"/>
      <c r="I31" s="105"/>
      <c r="J31" s="128"/>
      <c r="K31" s="105"/>
      <c r="L31" s="128"/>
      <c r="M31" s="105"/>
      <c r="N31" s="104"/>
      <c r="O31" s="105"/>
      <c r="P31" s="101"/>
      <c r="Q31" s="102"/>
      <c r="R31" s="101"/>
      <c r="S31" s="102"/>
      <c r="T31" s="101"/>
      <c r="U31" s="102"/>
      <c r="V31" s="128"/>
      <c r="W31" s="105"/>
      <c r="X31" s="767"/>
      <c r="Y31" s="102"/>
      <c r="Z31" s="770"/>
      <c r="AA31" s="106"/>
      <c r="AB31" s="767"/>
      <c r="AC31" s="102"/>
      <c r="AD31" s="767"/>
      <c r="AE31" s="102"/>
      <c r="AF31" s="767"/>
      <c r="AG31" s="102"/>
      <c r="AH31" s="767"/>
      <c r="AI31" s="102"/>
      <c r="AJ31" s="767"/>
      <c r="AK31" s="102"/>
      <c r="AL31" s="767"/>
      <c r="AM31" s="906"/>
      <c r="AN31" s="103"/>
      <c r="AO31" s="105"/>
      <c r="AP31" s="778"/>
      <c r="AQ31" s="780"/>
      <c r="AR31" s="737"/>
      <c r="AS31" s="120"/>
      <c r="AT31" s="128"/>
      <c r="AU31" s="105"/>
      <c r="AV31" s="131"/>
      <c r="AW31" s="132"/>
      <c r="AX31" s="737"/>
      <c r="AY31" s="120"/>
      <c r="AZ31" s="131"/>
      <c r="BA31" s="132"/>
    </row>
    <row r="32" spans="1:53" s="98" customFormat="1" ht="14.25" x14ac:dyDescent="0.3">
      <c r="A32" s="414" t="s">
        <v>49</v>
      </c>
      <c r="B32" s="760"/>
      <c r="C32" s="99"/>
      <c r="D32" s="101"/>
      <c r="E32" s="105"/>
      <c r="F32" s="104"/>
      <c r="G32" s="105"/>
      <c r="H32" s="104"/>
      <c r="I32" s="105"/>
      <c r="J32" s="128"/>
      <c r="K32" s="105"/>
      <c r="L32" s="128"/>
      <c r="M32" s="105"/>
      <c r="N32" s="104"/>
      <c r="O32" s="105"/>
      <c r="P32" s="101"/>
      <c r="Q32" s="102"/>
      <c r="R32" s="101"/>
      <c r="S32" s="102"/>
      <c r="T32" s="101"/>
      <c r="U32" s="102"/>
      <c r="V32" s="128"/>
      <c r="W32" s="105"/>
      <c r="X32" s="767"/>
      <c r="Y32" s="102"/>
      <c r="Z32" s="770"/>
      <c r="AA32" s="106"/>
      <c r="AB32" s="767"/>
      <c r="AC32" s="102"/>
      <c r="AD32" s="767"/>
      <c r="AE32" s="102"/>
      <c r="AF32" s="767"/>
      <c r="AG32" s="102"/>
      <c r="AH32" s="767"/>
      <c r="AI32" s="102"/>
      <c r="AJ32" s="767"/>
      <c r="AK32" s="102"/>
      <c r="AL32" s="767"/>
      <c r="AM32" s="906"/>
      <c r="AN32" s="103"/>
      <c r="AO32" s="105"/>
      <c r="AP32" s="778"/>
      <c r="AQ32" s="780"/>
      <c r="AR32" s="737"/>
      <c r="AS32" s="120"/>
      <c r="AT32" s="128"/>
      <c r="AU32" s="105"/>
      <c r="AV32" s="131"/>
      <c r="AW32" s="132"/>
      <c r="AX32" s="737"/>
      <c r="AY32" s="120"/>
      <c r="AZ32" s="131"/>
      <c r="BA32" s="132"/>
    </row>
    <row r="33" spans="1:53" s="98" customFormat="1" thickBot="1" x14ac:dyDescent="0.35">
      <c r="A33" s="758" t="s">
        <v>53</v>
      </c>
      <c r="B33" s="762"/>
      <c r="C33" s="136"/>
      <c r="D33" s="137"/>
      <c r="E33" s="138"/>
      <c r="F33" s="140"/>
      <c r="G33" s="138"/>
      <c r="H33" s="140"/>
      <c r="I33" s="138"/>
      <c r="J33" s="139"/>
      <c r="K33" s="138"/>
      <c r="L33" s="139"/>
      <c r="M33" s="138"/>
      <c r="N33" s="140"/>
      <c r="O33" s="138"/>
      <c r="P33" s="137"/>
      <c r="Q33" s="141"/>
      <c r="R33" s="137"/>
      <c r="S33" s="141"/>
      <c r="T33" s="137"/>
      <c r="U33" s="141"/>
      <c r="V33" s="139"/>
      <c r="W33" s="138"/>
      <c r="X33" s="769"/>
      <c r="Y33" s="141"/>
      <c r="Z33" s="771"/>
      <c r="AA33" s="772"/>
      <c r="AB33" s="769"/>
      <c r="AC33" s="141"/>
      <c r="AD33" s="769"/>
      <c r="AE33" s="141"/>
      <c r="AF33" s="769"/>
      <c r="AG33" s="141"/>
      <c r="AH33" s="769"/>
      <c r="AI33" s="141"/>
      <c r="AJ33" s="769"/>
      <c r="AK33" s="141"/>
      <c r="AL33" s="769"/>
      <c r="AM33" s="937"/>
      <c r="AN33" s="1012"/>
      <c r="AO33" s="210"/>
      <c r="AP33" s="779"/>
      <c r="AQ33" s="781"/>
      <c r="AR33" s="738"/>
      <c r="AS33" s="364"/>
      <c r="AT33" s="139"/>
      <c r="AU33" s="138"/>
      <c r="AV33" s="147"/>
      <c r="AW33" s="148"/>
      <c r="AX33" s="738"/>
      <c r="AY33" s="364"/>
      <c r="AZ33" s="147"/>
      <c r="BA33" s="148"/>
    </row>
    <row r="34" spans="1:53" s="497" customFormat="1" thickBot="1" x14ac:dyDescent="0.35">
      <c r="A34" s="525" t="s">
        <v>54</v>
      </c>
      <c r="B34" s="763">
        <f t="shared" ref="B34:AE34" si="7">SUM(B6:B33)</f>
        <v>478453.04000000004</v>
      </c>
      <c r="C34" s="528">
        <f t="shared" si="7"/>
        <v>675423</v>
      </c>
      <c r="D34" s="522">
        <f t="shared" si="7"/>
        <v>30962.53999999999</v>
      </c>
      <c r="E34" s="523">
        <f t="shared" si="7"/>
        <v>39111</v>
      </c>
      <c r="F34" s="495">
        <f t="shared" si="7"/>
        <v>99331.56</v>
      </c>
      <c r="G34" s="519">
        <f t="shared" si="7"/>
        <v>118917</v>
      </c>
      <c r="H34" s="475">
        <f t="shared" si="7"/>
        <v>610825.1</v>
      </c>
      <c r="I34" s="476">
        <f t="shared" si="7"/>
        <v>881013</v>
      </c>
      <c r="J34" s="477">
        <f t="shared" si="7"/>
        <v>55064.340000000004</v>
      </c>
      <c r="K34" s="519">
        <f t="shared" si="7"/>
        <v>77178</v>
      </c>
      <c r="L34" s="477">
        <f t="shared" si="7"/>
        <v>205366.62</v>
      </c>
      <c r="M34" s="476">
        <f t="shared" si="7"/>
        <v>264374</v>
      </c>
      <c r="N34" s="475">
        <f t="shared" si="7"/>
        <v>38562.880000000005</v>
      </c>
      <c r="O34" s="476">
        <f t="shared" si="7"/>
        <v>51462</v>
      </c>
      <c r="P34" s="475">
        <f t="shared" si="7"/>
        <v>16458.830000000002</v>
      </c>
      <c r="Q34" s="476">
        <f t="shared" si="7"/>
        <v>31957</v>
      </c>
      <c r="R34" s="475">
        <f t="shared" si="7"/>
        <v>169853.52000000002</v>
      </c>
      <c r="S34" s="476">
        <f t="shared" si="7"/>
        <v>204447</v>
      </c>
      <c r="T34" s="475">
        <f t="shared" si="7"/>
        <v>50192.030000000013</v>
      </c>
      <c r="U34" s="476">
        <f t="shared" si="7"/>
        <v>56058</v>
      </c>
      <c r="V34" s="477">
        <f t="shared" si="7"/>
        <v>2237295.8999999994</v>
      </c>
      <c r="W34" s="476">
        <f t="shared" si="7"/>
        <v>3115133</v>
      </c>
      <c r="X34" s="477">
        <f t="shared" si="7"/>
        <v>2252466.23</v>
      </c>
      <c r="Y34" s="476">
        <f t="shared" si="7"/>
        <v>2914530</v>
      </c>
      <c r="Z34" s="477">
        <f t="shared" si="7"/>
        <v>95164.24</v>
      </c>
      <c r="AA34" s="476">
        <f t="shared" si="7"/>
        <v>111597</v>
      </c>
      <c r="AB34" s="477">
        <f t="shared" si="7"/>
        <v>332709.19999999995</v>
      </c>
      <c r="AC34" s="476">
        <f t="shared" si="7"/>
        <v>400873</v>
      </c>
      <c r="AD34" s="477">
        <f t="shared" si="7"/>
        <v>409990.14000000007</v>
      </c>
      <c r="AE34" s="476">
        <f t="shared" si="7"/>
        <v>581793</v>
      </c>
      <c r="AF34" s="477">
        <f t="shared" ref="AF34:AU34" si="8">SUM(AF6:AF33)</f>
        <v>699822.13</v>
      </c>
      <c r="AG34" s="519">
        <f t="shared" si="8"/>
        <v>927348</v>
      </c>
      <c r="AH34" s="477">
        <f t="shared" si="8"/>
        <v>250844</v>
      </c>
      <c r="AI34" s="476">
        <f t="shared" si="8"/>
        <v>300065</v>
      </c>
      <c r="AJ34" s="477">
        <f t="shared" si="8"/>
        <v>277675.16000000003</v>
      </c>
      <c r="AK34" s="476">
        <f t="shared" si="8"/>
        <v>309943</v>
      </c>
      <c r="AL34" s="776">
        <f t="shared" si="8"/>
        <v>0</v>
      </c>
      <c r="AM34" s="476">
        <f t="shared" si="8"/>
        <v>0</v>
      </c>
      <c r="AN34" s="1010">
        <f t="shared" si="8"/>
        <v>2149287.5500000003</v>
      </c>
      <c r="AO34" s="1011">
        <f t="shared" si="8"/>
        <v>3123808</v>
      </c>
      <c r="AP34" s="776">
        <f t="shared" si="8"/>
        <v>55870.79</v>
      </c>
      <c r="AQ34" s="476">
        <f t="shared" si="8"/>
        <v>86970</v>
      </c>
      <c r="AR34" s="776">
        <f t="shared" si="8"/>
        <v>113700.33</v>
      </c>
      <c r="AS34" s="476">
        <f t="shared" si="8"/>
        <v>168107</v>
      </c>
      <c r="AT34" s="776">
        <f t="shared" si="8"/>
        <v>277651.27</v>
      </c>
      <c r="AU34" s="476">
        <f t="shared" si="8"/>
        <v>411528</v>
      </c>
      <c r="AV34" s="479">
        <f>SUM(B34+D34+F34+H34+J34+L34+N34+P34+R34+T34+V34+X34+Z34+AB34+AD34+AF34+AH34+AJ34+AL34+AN34+AP34+AR34+AT34)</f>
        <v>10907547.399999999</v>
      </c>
      <c r="AW34" s="496">
        <f>SUM(C34+E34+G34+I34+K34+M34+O34+Q34+S34+U34+W34+Y34+AA34+AC34+AE34+AG34+AI34+AK34+AM34+AO34+AQ34+AS34+AU34)</f>
        <v>14851635</v>
      </c>
      <c r="AX34" s="782">
        <f>SUM(AX6:AX33)</f>
        <v>28465473.32</v>
      </c>
      <c r="AY34" s="516">
        <f>SUM(AY6:AY33)</f>
        <v>35343756</v>
      </c>
      <c r="AZ34" s="479">
        <f>AV34+AX34</f>
        <v>39373020.719999999</v>
      </c>
      <c r="BA34" s="496">
        <f>AW34+AY34</f>
        <v>50195391</v>
      </c>
    </row>
    <row r="35" spans="1:53" s="98" customFormat="1" thickBot="1" x14ac:dyDescent="0.35">
      <c r="A35" s="526" t="s">
        <v>55</v>
      </c>
      <c r="B35" s="764"/>
      <c r="C35" s="529"/>
      <c r="D35" s="524"/>
      <c r="E35" s="517"/>
      <c r="F35" s="520"/>
      <c r="G35" s="521"/>
      <c r="H35" s="152"/>
      <c r="I35" s="151"/>
      <c r="J35" s="765"/>
      <c r="K35" s="521"/>
      <c r="L35" s="152"/>
      <c r="M35" s="151"/>
      <c r="N35" s="152"/>
      <c r="O35" s="151"/>
      <c r="P35" s="149"/>
      <c r="Q35" s="150"/>
      <c r="R35" s="149"/>
      <c r="S35" s="150"/>
      <c r="T35" s="149"/>
      <c r="U35" s="150"/>
      <c r="V35" s="152"/>
      <c r="W35" s="151"/>
      <c r="X35" s="149"/>
      <c r="Y35" s="150"/>
      <c r="Z35" s="149"/>
      <c r="AA35" s="150"/>
      <c r="AB35" s="149"/>
      <c r="AC35" s="150"/>
      <c r="AD35" s="149"/>
      <c r="AE35" s="150"/>
      <c r="AF35" s="149"/>
      <c r="AG35" s="150"/>
      <c r="AH35" s="149"/>
      <c r="AI35" s="150"/>
      <c r="AJ35" s="149"/>
      <c r="AK35" s="150"/>
      <c r="AL35" s="777"/>
      <c r="AM35" s="211"/>
      <c r="AN35" s="152"/>
      <c r="AO35" s="151"/>
      <c r="AP35" s="152"/>
      <c r="AQ35" s="151"/>
      <c r="AR35" s="152"/>
      <c r="AS35" s="151"/>
      <c r="AT35" s="152"/>
      <c r="AU35" s="151"/>
      <c r="AV35" s="153"/>
      <c r="AW35" s="154"/>
      <c r="AX35" s="783"/>
      <c r="AY35" s="518"/>
      <c r="AZ35" s="153"/>
      <c r="BA35" s="154"/>
    </row>
    <row r="36" spans="1:53" s="1140" customFormat="1" thickBot="1" x14ac:dyDescent="0.35">
      <c r="A36" s="1141" t="s">
        <v>56</v>
      </c>
      <c r="B36" s="1144">
        <f t="shared" ref="B36:AG36" si="9">B34</f>
        <v>478453.04000000004</v>
      </c>
      <c r="C36" s="1145">
        <f t="shared" si="9"/>
        <v>675423</v>
      </c>
      <c r="D36" s="1146">
        <f t="shared" si="9"/>
        <v>30962.53999999999</v>
      </c>
      <c r="E36" s="1147">
        <f t="shared" si="9"/>
        <v>39111</v>
      </c>
      <c r="F36" s="1133">
        <f t="shared" si="9"/>
        <v>99331.56</v>
      </c>
      <c r="G36" s="1134">
        <f t="shared" si="9"/>
        <v>118917</v>
      </c>
      <c r="H36" s="1148">
        <f t="shared" si="9"/>
        <v>610825.1</v>
      </c>
      <c r="I36" s="1143">
        <f t="shared" si="9"/>
        <v>881013</v>
      </c>
      <c r="J36" s="1127">
        <f t="shared" si="9"/>
        <v>55064.340000000004</v>
      </c>
      <c r="K36" s="1134">
        <f t="shared" si="9"/>
        <v>77178</v>
      </c>
      <c r="L36" s="1148">
        <f t="shared" si="9"/>
        <v>205366.62</v>
      </c>
      <c r="M36" s="1143">
        <f t="shared" si="9"/>
        <v>264374</v>
      </c>
      <c r="N36" s="1148">
        <f t="shared" si="9"/>
        <v>38562.880000000005</v>
      </c>
      <c r="O36" s="1143">
        <f t="shared" si="9"/>
        <v>51462</v>
      </c>
      <c r="P36" s="1148">
        <f t="shared" si="9"/>
        <v>16458.830000000002</v>
      </c>
      <c r="Q36" s="1143">
        <f t="shared" si="9"/>
        <v>31957</v>
      </c>
      <c r="R36" s="1148">
        <f t="shared" si="9"/>
        <v>169853.52000000002</v>
      </c>
      <c r="S36" s="1143">
        <f t="shared" si="9"/>
        <v>204447</v>
      </c>
      <c r="T36" s="1148">
        <f t="shared" si="9"/>
        <v>50192.030000000013</v>
      </c>
      <c r="U36" s="1143">
        <f t="shared" si="9"/>
        <v>56058</v>
      </c>
      <c r="V36" s="1148">
        <f t="shared" si="9"/>
        <v>2237295.8999999994</v>
      </c>
      <c r="W36" s="1143">
        <f t="shared" si="9"/>
        <v>3115133</v>
      </c>
      <c r="X36" s="1148">
        <v>234806657</v>
      </c>
      <c r="Y36" s="1143">
        <v>198637536</v>
      </c>
      <c r="Z36" s="1148">
        <f t="shared" si="9"/>
        <v>95164.24</v>
      </c>
      <c r="AA36" s="1143">
        <f t="shared" si="9"/>
        <v>111597</v>
      </c>
      <c r="AB36" s="1148">
        <f t="shared" si="9"/>
        <v>332709.19999999995</v>
      </c>
      <c r="AC36" s="1143">
        <f t="shared" si="9"/>
        <v>400873</v>
      </c>
      <c r="AD36" s="1148">
        <f t="shared" si="9"/>
        <v>409990.14000000007</v>
      </c>
      <c r="AE36" s="1143">
        <f t="shared" si="9"/>
        <v>581793</v>
      </c>
      <c r="AF36" s="1148">
        <f t="shared" si="9"/>
        <v>699822.13</v>
      </c>
      <c r="AG36" s="1143">
        <f t="shared" si="9"/>
        <v>927348</v>
      </c>
      <c r="AH36" s="1148">
        <f>AH34</f>
        <v>250844</v>
      </c>
      <c r="AI36" s="1143">
        <f>AI34</f>
        <v>300065</v>
      </c>
      <c r="AJ36" s="1149">
        <f>AJ34</f>
        <v>277675.16000000003</v>
      </c>
      <c r="AK36" s="1150">
        <f>AK34</f>
        <v>309943</v>
      </c>
      <c r="AL36" s="1151"/>
      <c r="AM36" s="1152"/>
      <c r="AN36" s="1148">
        <f t="shared" ref="AN36:AU36" si="10">AN34</f>
        <v>2149287.5500000003</v>
      </c>
      <c r="AO36" s="1143">
        <f t="shared" si="10"/>
        <v>3123808</v>
      </c>
      <c r="AP36" s="1148">
        <f t="shared" si="10"/>
        <v>55870.79</v>
      </c>
      <c r="AQ36" s="1143">
        <f t="shared" si="10"/>
        <v>86970</v>
      </c>
      <c r="AR36" s="1148">
        <f t="shared" si="10"/>
        <v>113700.33</v>
      </c>
      <c r="AS36" s="1143">
        <f t="shared" si="10"/>
        <v>168107</v>
      </c>
      <c r="AT36" s="1148">
        <f t="shared" si="10"/>
        <v>277651.27</v>
      </c>
      <c r="AU36" s="1143">
        <f t="shared" si="10"/>
        <v>411528</v>
      </c>
      <c r="AV36" s="1142">
        <f>SUM(B36+D36+F36+H36+J36+L36+N36+P36+R36+T36+V36+X36+Z36+AB36+AD36+AF36+AH36+AJ36+AL36+AN36+AP36+AR36+AT36)</f>
        <v>243461738.17000002</v>
      </c>
      <c r="AW36" s="1143">
        <f>SUM(C36+E36+G36+I36+K36+M36+O36+Q36+S36+U36+W36+Y36+AA36+AC36+AE36+AG36+AI36+AK36+AM36+AO36+AQ36+AS36+AU36)</f>
        <v>210574641</v>
      </c>
      <c r="AX36" s="1153">
        <v>28426994</v>
      </c>
      <c r="AY36" s="1154">
        <v>35303364</v>
      </c>
      <c r="AZ36" s="1142">
        <f>AV36+AX36</f>
        <v>271888732.17000002</v>
      </c>
      <c r="BA36" s="1143">
        <f>AW36+AY36</f>
        <v>245878005</v>
      </c>
    </row>
    <row r="37" spans="1:53" s="98" customFormat="1" thickBot="1" x14ac:dyDescent="0.35">
      <c r="A37" s="527" t="s">
        <v>57</v>
      </c>
      <c r="B37" s="764"/>
      <c r="C37" s="529"/>
      <c r="D37" s="524"/>
      <c r="E37" s="517"/>
      <c r="F37" s="520"/>
      <c r="G37" s="521"/>
      <c r="H37" s="115"/>
      <c r="I37" s="116"/>
      <c r="J37" s="765"/>
      <c r="K37" s="521"/>
      <c r="L37" s="115"/>
      <c r="M37" s="116"/>
      <c r="N37" s="115"/>
      <c r="O37" s="116"/>
      <c r="P37" s="133"/>
      <c r="Q37" s="155"/>
      <c r="R37" s="133"/>
      <c r="S37" s="155"/>
      <c r="T37" s="133"/>
      <c r="U37" s="155"/>
      <c r="V37" s="115"/>
      <c r="W37" s="116"/>
      <c r="X37" s="133"/>
      <c r="Y37" s="155"/>
      <c r="Z37" s="133"/>
      <c r="AA37" s="155"/>
      <c r="AB37" s="133"/>
      <c r="AC37" s="155"/>
      <c r="AD37" s="133"/>
      <c r="AE37" s="155"/>
      <c r="AF37" s="133"/>
      <c r="AG37" s="155"/>
      <c r="AH37" s="133"/>
      <c r="AI37" s="155"/>
      <c r="AJ37" s="775"/>
      <c r="AK37" s="250"/>
      <c r="AL37" s="360"/>
      <c r="AM37" s="361"/>
      <c r="AN37" s="115"/>
      <c r="AO37" s="116"/>
      <c r="AP37" s="115"/>
      <c r="AQ37" s="116"/>
      <c r="AR37" s="115"/>
      <c r="AS37" s="116"/>
      <c r="AT37" s="115"/>
      <c r="AU37" s="116"/>
      <c r="AV37" s="362"/>
      <c r="AW37" s="363"/>
      <c r="AX37" s="783">
        <v>38479</v>
      </c>
      <c r="AY37" s="518">
        <v>37394</v>
      </c>
      <c r="AZ37" s="362"/>
      <c r="BA37" s="363"/>
    </row>
    <row r="38" spans="1:53" s="1140" customFormat="1" thickBot="1" x14ac:dyDescent="0.35">
      <c r="A38" s="1126" t="s">
        <v>54</v>
      </c>
      <c r="B38" s="1129">
        <f t="shared" ref="B38:AG38" si="11">B36</f>
        <v>478453.04000000004</v>
      </c>
      <c r="C38" s="1130">
        <f t="shared" si="11"/>
        <v>675423</v>
      </c>
      <c r="D38" s="1131">
        <f t="shared" si="11"/>
        <v>30962.53999999999</v>
      </c>
      <c r="E38" s="1132">
        <f t="shared" si="11"/>
        <v>39111</v>
      </c>
      <c r="F38" s="1133">
        <f t="shared" si="11"/>
        <v>99331.56</v>
      </c>
      <c r="G38" s="1134">
        <f t="shared" si="11"/>
        <v>118917</v>
      </c>
      <c r="H38" s="1135">
        <f t="shared" si="11"/>
        <v>610825.1</v>
      </c>
      <c r="I38" s="1128">
        <f t="shared" si="11"/>
        <v>881013</v>
      </c>
      <c r="J38" s="1127">
        <f t="shared" si="11"/>
        <v>55064.340000000004</v>
      </c>
      <c r="K38" s="1134">
        <f t="shared" si="11"/>
        <v>77178</v>
      </c>
      <c r="L38" s="1135">
        <f t="shared" si="11"/>
        <v>205366.62</v>
      </c>
      <c r="M38" s="1128">
        <f t="shared" si="11"/>
        <v>264374</v>
      </c>
      <c r="N38" s="1135">
        <f t="shared" si="11"/>
        <v>38562.880000000005</v>
      </c>
      <c r="O38" s="1128">
        <f t="shared" si="11"/>
        <v>51462</v>
      </c>
      <c r="P38" s="1136">
        <f t="shared" si="11"/>
        <v>16458.830000000002</v>
      </c>
      <c r="Q38" s="1137">
        <f t="shared" si="11"/>
        <v>31957</v>
      </c>
      <c r="R38" s="1136">
        <f t="shared" si="11"/>
        <v>169853.52000000002</v>
      </c>
      <c r="S38" s="1137">
        <f t="shared" si="11"/>
        <v>204447</v>
      </c>
      <c r="T38" s="1136">
        <f t="shared" si="11"/>
        <v>50192.030000000013</v>
      </c>
      <c r="U38" s="1137">
        <f t="shared" si="11"/>
        <v>56058</v>
      </c>
      <c r="V38" s="1135">
        <f t="shared" si="11"/>
        <v>2237295.8999999994</v>
      </c>
      <c r="W38" s="1128">
        <f t="shared" si="11"/>
        <v>3115133</v>
      </c>
      <c r="X38" s="1136">
        <f t="shared" si="11"/>
        <v>234806657</v>
      </c>
      <c r="Y38" s="1137">
        <f t="shared" si="11"/>
        <v>198637536</v>
      </c>
      <c r="Z38" s="1136">
        <f t="shared" si="11"/>
        <v>95164.24</v>
      </c>
      <c r="AA38" s="1137">
        <f t="shared" si="11"/>
        <v>111597</v>
      </c>
      <c r="AB38" s="1136">
        <f t="shared" si="11"/>
        <v>332709.19999999995</v>
      </c>
      <c r="AC38" s="1137">
        <f t="shared" si="11"/>
        <v>400873</v>
      </c>
      <c r="AD38" s="1136">
        <f t="shared" si="11"/>
        <v>409990.14000000007</v>
      </c>
      <c r="AE38" s="1137">
        <f t="shared" si="11"/>
        <v>581793</v>
      </c>
      <c r="AF38" s="1136">
        <f t="shared" si="11"/>
        <v>699822.13</v>
      </c>
      <c r="AG38" s="1137">
        <f t="shared" si="11"/>
        <v>927348</v>
      </c>
      <c r="AH38" s="1136">
        <f t="shared" ref="AH38:AU38" si="12">AH36</f>
        <v>250844</v>
      </c>
      <c r="AI38" s="1137">
        <f t="shared" si="12"/>
        <v>300065</v>
      </c>
      <c r="AJ38" s="1138">
        <f t="shared" si="12"/>
        <v>277675.16000000003</v>
      </c>
      <c r="AK38" s="1139">
        <f t="shared" si="12"/>
        <v>309943</v>
      </c>
      <c r="AL38" s="1138">
        <f t="shared" si="12"/>
        <v>0</v>
      </c>
      <c r="AM38" s="1139">
        <f t="shared" si="12"/>
        <v>0</v>
      </c>
      <c r="AN38" s="1135">
        <f t="shared" si="12"/>
        <v>2149287.5500000003</v>
      </c>
      <c r="AO38" s="1128">
        <f t="shared" si="12"/>
        <v>3123808</v>
      </c>
      <c r="AP38" s="1135">
        <f t="shared" si="12"/>
        <v>55870.79</v>
      </c>
      <c r="AQ38" s="1128">
        <f t="shared" si="12"/>
        <v>86970</v>
      </c>
      <c r="AR38" s="1135">
        <f t="shared" si="12"/>
        <v>113700.33</v>
      </c>
      <c r="AS38" s="1128">
        <f t="shared" si="12"/>
        <v>168107</v>
      </c>
      <c r="AT38" s="1135">
        <f t="shared" si="12"/>
        <v>277651.27</v>
      </c>
      <c r="AU38" s="1128">
        <f t="shared" si="12"/>
        <v>411528</v>
      </c>
      <c r="AV38" s="1127">
        <f>SUM(B38+D38+F38+H38+J38+L38+N38+P38+R38+T38+V38+X38+Z38+AB38+AD38+AF38+AH38+AJ38+AL38+AN38+AP38+AR38+AT38)</f>
        <v>243461738.17000002</v>
      </c>
      <c r="AW38" s="1128">
        <f>SUM(C38+E38+G38+I38+K38+M38+O38+Q38+S38+U38+W38+Y38+AA38+AC38+AE38+AG38+AI38+AK38+AM38+AO38+AQ38+AS38+AU38)</f>
        <v>210574641</v>
      </c>
      <c r="AX38" s="1127">
        <f>AX34</f>
        <v>28465473.32</v>
      </c>
      <c r="AY38" s="1134">
        <f>AY34</f>
        <v>35343756</v>
      </c>
      <c r="AZ38" s="1127">
        <f>AV38+AX38</f>
        <v>271927211.49000001</v>
      </c>
      <c r="BA38" s="1128">
        <f>AW38+AY38</f>
        <v>245918397</v>
      </c>
    </row>
    <row r="39" spans="1:53" s="98" customFormat="1" ht="14.25" x14ac:dyDescent="0.3">
      <c r="A39" s="86"/>
      <c r="E39" s="156"/>
      <c r="V39" s="156"/>
      <c r="W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</row>
  </sheetData>
  <mergeCells count="29">
    <mergeCell ref="J3:K3"/>
    <mergeCell ref="R3:S3"/>
    <mergeCell ref="P3:Q3"/>
    <mergeCell ref="AL3:AM3"/>
    <mergeCell ref="L3:M3"/>
    <mergeCell ref="AB3:AC3"/>
    <mergeCell ref="X3:Y3"/>
    <mergeCell ref="T3:U3"/>
    <mergeCell ref="AZ3:BA3"/>
    <mergeCell ref="AX3:AY3"/>
    <mergeCell ref="AV3:AW3"/>
    <mergeCell ref="AT3:AU3"/>
    <mergeCell ref="AR3:AS3"/>
    <mergeCell ref="A1:AY1"/>
    <mergeCell ref="A2:AY2"/>
    <mergeCell ref="A3:A4"/>
    <mergeCell ref="Z3:AA3"/>
    <mergeCell ref="V3:W3"/>
    <mergeCell ref="F3:G3"/>
    <mergeCell ref="D3:E3"/>
    <mergeCell ref="B3:C3"/>
    <mergeCell ref="AJ3:AK3"/>
    <mergeCell ref="AH3:AI3"/>
    <mergeCell ref="AN3:AO3"/>
    <mergeCell ref="AP3:AQ3"/>
    <mergeCell ref="N3:O3"/>
    <mergeCell ref="AF3:AG3"/>
    <mergeCell ref="AD3:AE3"/>
    <mergeCell ref="H3:I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A14"/>
  <sheetViews>
    <sheetView topLeftCell="A13" workbookViewId="0">
      <pane xSplit="1" topLeftCell="X1" activePane="topRight" state="frozen"/>
      <selection pane="topRight" sqref="A1:IV65536"/>
    </sheetView>
  </sheetViews>
  <sheetFormatPr defaultRowHeight="16.5" x14ac:dyDescent="0.3"/>
  <cols>
    <col min="1" max="1" width="45.42578125" style="95" bestFit="1" customWidth="1"/>
    <col min="2" max="2" width="10.42578125" style="95" bestFit="1" customWidth="1"/>
    <col min="3" max="3" width="10.42578125" style="95" customWidth="1"/>
    <col min="4" max="4" width="10.7109375" style="95" bestFit="1" customWidth="1"/>
    <col min="5" max="5" width="10.5703125" style="95" bestFit="1" customWidth="1"/>
    <col min="6" max="6" width="10.42578125" style="95" bestFit="1" customWidth="1"/>
    <col min="7" max="7" width="11.42578125" style="95" bestFit="1" customWidth="1"/>
    <col min="8" max="21" width="10.42578125" style="95" bestFit="1" customWidth="1"/>
    <col min="22" max="22" width="11.5703125" style="95" bestFit="1" customWidth="1"/>
    <col min="23" max="24" width="10.42578125" style="95" bestFit="1" customWidth="1"/>
    <col min="25" max="25" width="14.28515625" style="95" bestFit="1" customWidth="1"/>
    <col min="26" max="26" width="11.5703125" style="95" bestFit="1" customWidth="1"/>
    <col min="27" max="27" width="14.28515625" style="61" bestFit="1" customWidth="1"/>
    <col min="28" max="16384" width="9.140625" style="95"/>
  </cols>
  <sheetData>
    <row r="1" spans="1:27" s="412" customFormat="1" ht="17.25" thickBot="1" x14ac:dyDescent="0.4">
      <c r="A1" s="1373" t="s">
        <v>436</v>
      </c>
      <c r="B1" s="1373"/>
      <c r="C1" s="1373"/>
      <c r="D1" s="1373"/>
      <c r="E1" s="1373"/>
      <c r="F1" s="1373"/>
      <c r="G1" s="1373"/>
      <c r="H1" s="1373"/>
      <c r="I1" s="1373"/>
      <c r="J1" s="1373"/>
      <c r="K1" s="1373"/>
      <c r="L1" s="1373"/>
      <c r="M1" s="1373"/>
      <c r="N1" s="1373"/>
      <c r="O1" s="1373"/>
      <c r="P1" s="1373"/>
      <c r="Q1" s="1373"/>
      <c r="R1" s="1373"/>
      <c r="S1" s="1373"/>
      <c r="T1" s="1373"/>
      <c r="U1" s="1373"/>
      <c r="V1" s="1373"/>
      <c r="W1" s="1373"/>
      <c r="X1" s="1373"/>
      <c r="Y1" s="1373"/>
      <c r="Z1" s="1373"/>
      <c r="AA1" s="1373"/>
    </row>
    <row r="2" spans="1:27" ht="112.5" customHeight="1" thickBot="1" x14ac:dyDescent="0.35">
      <c r="A2" s="1372" t="s">
        <v>0</v>
      </c>
      <c r="B2" s="537" t="s">
        <v>158</v>
      </c>
      <c r="C2" s="449" t="s">
        <v>159</v>
      </c>
      <c r="D2" s="449" t="s">
        <v>160</v>
      </c>
      <c r="E2" s="449" t="s">
        <v>161</v>
      </c>
      <c r="F2" s="449" t="s">
        <v>162</v>
      </c>
      <c r="G2" s="449" t="s">
        <v>163</v>
      </c>
      <c r="H2" s="449" t="s">
        <v>312</v>
      </c>
      <c r="I2" s="449" t="s">
        <v>164</v>
      </c>
      <c r="J2" s="449" t="s">
        <v>165</v>
      </c>
      <c r="K2" s="449" t="s">
        <v>166</v>
      </c>
      <c r="L2" s="449" t="s">
        <v>167</v>
      </c>
      <c r="M2" s="449" t="s">
        <v>168</v>
      </c>
      <c r="N2" s="449" t="s">
        <v>383</v>
      </c>
      <c r="O2" s="449" t="s">
        <v>169</v>
      </c>
      <c r="P2" s="449" t="s">
        <v>170</v>
      </c>
      <c r="Q2" s="449" t="s">
        <v>171</v>
      </c>
      <c r="R2" s="449" t="s">
        <v>172</v>
      </c>
      <c r="S2" s="449" t="s">
        <v>173</v>
      </c>
      <c r="T2" s="449" t="s">
        <v>174</v>
      </c>
      <c r="U2" s="449" t="s">
        <v>175</v>
      </c>
      <c r="V2" s="449" t="s">
        <v>176</v>
      </c>
      <c r="W2" s="449" t="s">
        <v>177</v>
      </c>
      <c r="X2" s="449" t="s">
        <v>178</v>
      </c>
      <c r="Y2" s="532" t="s">
        <v>1</v>
      </c>
      <c r="Z2" s="449" t="s">
        <v>179</v>
      </c>
      <c r="AA2" s="684" t="s">
        <v>2</v>
      </c>
    </row>
    <row r="3" spans="1:27" s="452" customFormat="1" ht="36.75" customHeight="1" thickBot="1" x14ac:dyDescent="0.35">
      <c r="A3" s="1372"/>
      <c r="B3" s="531" t="s">
        <v>432</v>
      </c>
      <c r="C3" s="531" t="s">
        <v>432</v>
      </c>
      <c r="D3" s="531" t="s">
        <v>432</v>
      </c>
      <c r="E3" s="531" t="s">
        <v>432</v>
      </c>
      <c r="F3" s="531" t="s">
        <v>432</v>
      </c>
      <c r="G3" s="531" t="s">
        <v>428</v>
      </c>
      <c r="H3" s="531" t="s">
        <v>432</v>
      </c>
      <c r="I3" s="531" t="s">
        <v>432</v>
      </c>
      <c r="J3" s="531" t="s">
        <v>432</v>
      </c>
      <c r="K3" s="531" t="s">
        <v>432</v>
      </c>
      <c r="L3" s="531" t="s">
        <v>432</v>
      </c>
      <c r="M3" s="531" t="s">
        <v>432</v>
      </c>
      <c r="N3" s="531" t="s">
        <v>432</v>
      </c>
      <c r="O3" s="531" t="s">
        <v>432</v>
      </c>
      <c r="P3" s="531" t="s">
        <v>432</v>
      </c>
      <c r="Q3" s="531" t="s">
        <v>432</v>
      </c>
      <c r="R3" s="531" t="s">
        <v>432</v>
      </c>
      <c r="S3" s="531" t="s">
        <v>432</v>
      </c>
      <c r="T3" s="531" t="s">
        <v>432</v>
      </c>
      <c r="U3" s="531" t="s">
        <v>432</v>
      </c>
      <c r="V3" s="531" t="s">
        <v>432</v>
      </c>
      <c r="W3" s="531" t="s">
        <v>432</v>
      </c>
      <c r="X3" s="531" t="s">
        <v>432</v>
      </c>
      <c r="Y3" s="531" t="s">
        <v>432</v>
      </c>
      <c r="Z3" s="531" t="s">
        <v>432</v>
      </c>
      <c r="AA3" s="531" t="s">
        <v>432</v>
      </c>
    </row>
    <row r="4" spans="1:27" ht="18" x14ac:dyDescent="0.35">
      <c r="A4" s="406" t="s">
        <v>276</v>
      </c>
      <c r="B4" s="686"/>
      <c r="C4" s="686"/>
      <c r="D4" s="1289" t="s">
        <v>295</v>
      </c>
      <c r="E4" s="686"/>
      <c r="F4" s="686"/>
      <c r="G4" s="686"/>
      <c r="H4" s="686"/>
      <c r="I4" s="686"/>
      <c r="J4" s="859" t="s">
        <v>295</v>
      </c>
      <c r="K4" s="860"/>
      <c r="L4" s="685"/>
      <c r="M4" s="686"/>
      <c r="N4" s="686"/>
      <c r="O4" s="686"/>
      <c r="P4" s="686"/>
      <c r="Q4" s="686"/>
      <c r="R4" s="686" t="s">
        <v>295</v>
      </c>
      <c r="S4" s="686"/>
      <c r="T4" s="686"/>
      <c r="U4" s="686"/>
      <c r="V4" s="686"/>
      <c r="W4" s="686"/>
      <c r="X4" s="686"/>
      <c r="Y4" s="685"/>
      <c r="Z4" s="686"/>
      <c r="AA4" s="685"/>
    </row>
    <row r="5" spans="1:27" x14ac:dyDescent="0.3">
      <c r="A5" s="402" t="s">
        <v>277</v>
      </c>
      <c r="B5" s="681">
        <v>6829</v>
      </c>
      <c r="C5" s="681"/>
      <c r="D5" s="681"/>
      <c r="E5" s="681"/>
      <c r="F5" s="681"/>
      <c r="G5" s="681"/>
      <c r="H5" s="681"/>
      <c r="I5" s="681"/>
      <c r="J5" s="681"/>
      <c r="K5" s="687"/>
      <c r="L5" s="682"/>
      <c r="M5" s="681"/>
      <c r="N5" s="681"/>
      <c r="O5" s="681"/>
      <c r="P5" s="681"/>
      <c r="Q5" s="681">
        <v>2588</v>
      </c>
      <c r="R5" s="681"/>
      <c r="S5" s="681"/>
      <c r="T5" s="681"/>
      <c r="U5" s="681"/>
      <c r="V5" s="681"/>
      <c r="W5" s="681"/>
      <c r="X5" s="681"/>
      <c r="Y5" s="682">
        <f>SUM(B5:X5)</f>
        <v>9417</v>
      </c>
      <c r="Z5" s="681"/>
      <c r="AA5" s="682">
        <f>Y5+Z5</f>
        <v>9417</v>
      </c>
    </row>
    <row r="6" spans="1:27" x14ac:dyDescent="0.3">
      <c r="A6" s="402" t="s">
        <v>278</v>
      </c>
      <c r="B6" s="681">
        <v>20000</v>
      </c>
      <c r="C6" s="688">
        <v>135593</v>
      </c>
      <c r="D6" s="681"/>
      <c r="E6" s="681">
        <v>105996</v>
      </c>
      <c r="F6" s="681">
        <v>20744</v>
      </c>
      <c r="G6" s="681">
        <v>12500</v>
      </c>
      <c r="H6" s="681">
        <v>83292</v>
      </c>
      <c r="I6" s="681">
        <v>171192</v>
      </c>
      <c r="J6" s="681"/>
      <c r="K6" s="687">
        <v>10000</v>
      </c>
      <c r="L6" s="682">
        <v>655656</v>
      </c>
      <c r="M6" s="681">
        <v>348251</v>
      </c>
      <c r="N6" s="681"/>
      <c r="O6" s="681">
        <v>27000</v>
      </c>
      <c r="P6" s="681">
        <v>5204</v>
      </c>
      <c r="Q6" s="681">
        <v>6617</v>
      </c>
      <c r="R6" s="681"/>
      <c r="S6" s="681">
        <v>30316</v>
      </c>
      <c r="T6" s="681"/>
      <c r="U6" s="681">
        <v>2279</v>
      </c>
      <c r="V6" s="681">
        <v>371.5</v>
      </c>
      <c r="W6" s="681">
        <v>26860</v>
      </c>
      <c r="X6" s="681"/>
      <c r="Y6" s="682">
        <f t="shared" ref="Y6:Y14" si="0">SUM(B6:X6)</f>
        <v>1661871.5</v>
      </c>
      <c r="Z6" s="681"/>
      <c r="AA6" s="682">
        <f t="shared" ref="AA6:AA14" si="1">Y6+Z6</f>
        <v>1661871.5</v>
      </c>
    </row>
    <row r="7" spans="1:27" x14ac:dyDescent="0.3">
      <c r="A7" s="402" t="s">
        <v>279</v>
      </c>
      <c r="B7" s="681"/>
      <c r="C7" s="688"/>
      <c r="D7" s="681"/>
      <c r="E7" s="681">
        <v>5263</v>
      </c>
      <c r="F7" s="681">
        <v>457</v>
      </c>
      <c r="G7" s="681"/>
      <c r="H7" s="681"/>
      <c r="I7" s="681">
        <v>199</v>
      </c>
      <c r="J7" s="681"/>
      <c r="K7" s="687"/>
      <c r="L7" s="682"/>
      <c r="M7" s="681">
        <v>3143</v>
      </c>
      <c r="N7" s="681"/>
      <c r="O7" s="681"/>
      <c r="P7" s="681"/>
      <c r="Q7" s="681"/>
      <c r="R7" s="681">
        <v>432</v>
      </c>
      <c r="S7" s="681"/>
      <c r="T7" s="681"/>
      <c r="U7" s="681"/>
      <c r="V7" s="681"/>
      <c r="W7" s="681"/>
      <c r="X7" s="681">
        <f>2596+3270</f>
        <v>5866</v>
      </c>
      <c r="Y7" s="682">
        <f t="shared" si="0"/>
        <v>15360</v>
      </c>
      <c r="Z7" s="681"/>
      <c r="AA7" s="682">
        <f t="shared" si="1"/>
        <v>15360</v>
      </c>
    </row>
    <row r="8" spans="1:27" x14ac:dyDescent="0.3">
      <c r="A8" s="402" t="s">
        <v>280</v>
      </c>
      <c r="B8" s="681">
        <v>4061</v>
      </c>
      <c r="C8" s="688"/>
      <c r="D8" s="681"/>
      <c r="E8" s="681"/>
      <c r="F8" s="681"/>
      <c r="G8" s="681"/>
      <c r="H8" s="681"/>
      <c r="I8" s="681"/>
      <c r="J8" s="681"/>
      <c r="K8" s="687"/>
      <c r="L8" s="682"/>
      <c r="M8" s="681"/>
      <c r="N8" s="681"/>
      <c r="O8" s="681"/>
      <c r="P8" s="681"/>
      <c r="Q8" s="681"/>
      <c r="R8" s="681"/>
      <c r="S8" s="681"/>
      <c r="T8" s="681"/>
      <c r="U8" s="681"/>
      <c r="V8" s="681"/>
      <c r="W8" s="681"/>
      <c r="X8" s="681"/>
      <c r="Y8" s="682">
        <f t="shared" si="0"/>
        <v>4061</v>
      </c>
      <c r="Z8" s="681">
        <v>2942.14</v>
      </c>
      <c r="AA8" s="682">
        <f t="shared" si="1"/>
        <v>7003.1399999999994</v>
      </c>
    </row>
    <row r="9" spans="1:27" x14ac:dyDescent="0.3">
      <c r="A9" s="402" t="s">
        <v>281</v>
      </c>
      <c r="B9" s="681"/>
      <c r="C9" s="688"/>
      <c r="D9" s="681"/>
      <c r="E9" s="681"/>
      <c r="F9" s="681"/>
      <c r="G9" s="681"/>
      <c r="H9" s="681"/>
      <c r="I9" s="681"/>
      <c r="J9" s="681"/>
      <c r="K9" s="687"/>
      <c r="L9" s="682"/>
      <c r="M9" s="681"/>
      <c r="N9" s="681"/>
      <c r="O9" s="681"/>
      <c r="P9" s="681"/>
      <c r="Q9" s="681"/>
      <c r="R9" s="681"/>
      <c r="S9" s="681"/>
      <c r="T9" s="681"/>
      <c r="U9" s="681"/>
      <c r="V9" s="681"/>
      <c r="W9" s="681"/>
      <c r="X9" s="681"/>
      <c r="Y9" s="682">
        <f t="shared" si="0"/>
        <v>0</v>
      </c>
      <c r="Z9" s="681"/>
      <c r="AA9" s="682">
        <f t="shared" si="1"/>
        <v>0</v>
      </c>
    </row>
    <row r="10" spans="1:27" x14ac:dyDescent="0.3">
      <c r="A10" s="402" t="s">
        <v>282</v>
      </c>
      <c r="B10" s="681"/>
      <c r="C10" s="688"/>
      <c r="D10" s="681"/>
      <c r="E10" s="681"/>
      <c r="F10" s="681"/>
      <c r="G10" s="681"/>
      <c r="H10" s="681"/>
      <c r="I10" s="681"/>
      <c r="J10" s="681"/>
      <c r="K10" s="687"/>
      <c r="L10" s="682"/>
      <c r="M10" s="681"/>
      <c r="N10" s="681"/>
      <c r="O10" s="681"/>
      <c r="P10" s="681"/>
      <c r="Q10" s="681"/>
      <c r="R10" s="681"/>
      <c r="S10" s="681"/>
      <c r="T10" s="681"/>
      <c r="U10" s="681"/>
      <c r="V10" s="681"/>
      <c r="W10" s="681"/>
      <c r="X10" s="681"/>
      <c r="Y10" s="682">
        <f t="shared" si="0"/>
        <v>0</v>
      </c>
      <c r="Z10" s="681"/>
      <c r="AA10" s="682">
        <f t="shared" si="1"/>
        <v>0</v>
      </c>
    </row>
    <row r="11" spans="1:27" x14ac:dyDescent="0.3">
      <c r="A11" s="402" t="s">
        <v>283</v>
      </c>
      <c r="B11" s="681"/>
      <c r="C11" s="688"/>
      <c r="D11" s="681"/>
      <c r="E11" s="681"/>
      <c r="F11" s="681"/>
      <c r="G11" s="681"/>
      <c r="H11" s="681"/>
      <c r="I11" s="681"/>
      <c r="J11" s="681"/>
      <c r="K11" s="687"/>
      <c r="L11" s="682"/>
      <c r="M11" s="681"/>
      <c r="N11" s="681"/>
      <c r="O11" s="681"/>
      <c r="P11" s="681"/>
      <c r="Q11" s="681"/>
      <c r="R11" s="681"/>
      <c r="S11" s="681"/>
      <c r="T11" s="681"/>
      <c r="U11" s="681"/>
      <c r="V11" s="681"/>
      <c r="W11" s="681"/>
      <c r="X11" s="681"/>
      <c r="Y11" s="682">
        <f t="shared" si="0"/>
        <v>0</v>
      </c>
      <c r="Z11" s="681"/>
      <c r="AA11" s="682">
        <f t="shared" si="1"/>
        <v>0</v>
      </c>
    </row>
    <row r="12" spans="1:27" x14ac:dyDescent="0.3">
      <c r="A12" s="402" t="s">
        <v>284</v>
      </c>
      <c r="B12" s="681">
        <f>5000+6715</f>
        <v>11715</v>
      </c>
      <c r="C12" s="688"/>
      <c r="D12" s="681"/>
      <c r="E12" s="681"/>
      <c r="F12" s="681"/>
      <c r="G12" s="681"/>
      <c r="H12" s="681"/>
      <c r="I12" s="681"/>
      <c r="J12" s="681"/>
      <c r="K12" s="687"/>
      <c r="L12" s="682"/>
      <c r="M12" s="681"/>
      <c r="N12" s="681"/>
      <c r="O12" s="681">
        <v>1000</v>
      </c>
      <c r="P12" s="681"/>
      <c r="Q12" s="681">
        <f>13205+992</f>
        <v>14197</v>
      </c>
      <c r="R12" s="681"/>
      <c r="S12" s="681"/>
      <c r="T12" s="681"/>
      <c r="U12" s="681">
        <v>120</v>
      </c>
      <c r="V12" s="681"/>
      <c r="W12" s="681">
        <v>1250</v>
      </c>
      <c r="X12" s="681">
        <v>4880</v>
      </c>
      <c r="Y12" s="682">
        <f t="shared" si="0"/>
        <v>33162</v>
      </c>
      <c r="Z12" s="681">
        <v>-70.88</v>
      </c>
      <c r="AA12" s="682">
        <f t="shared" si="1"/>
        <v>33091.120000000003</v>
      </c>
    </row>
    <row r="13" spans="1:27" x14ac:dyDescent="0.3">
      <c r="A13" s="402" t="s">
        <v>285</v>
      </c>
      <c r="B13" s="681">
        <v>17477</v>
      </c>
      <c r="C13" s="688"/>
      <c r="D13" s="681"/>
      <c r="E13" s="681">
        <v>926350</v>
      </c>
      <c r="F13" s="681"/>
      <c r="G13" s="681">
        <v>21537</v>
      </c>
      <c r="H13" s="681"/>
      <c r="I13" s="681"/>
      <c r="J13" s="681"/>
      <c r="K13" s="687"/>
      <c r="L13" s="682">
        <v>672861</v>
      </c>
      <c r="M13" s="681">
        <v>407252</v>
      </c>
      <c r="N13" s="681">
        <v>22895</v>
      </c>
      <c r="O13" s="681"/>
      <c r="P13" s="681">
        <v>382688</v>
      </c>
      <c r="Q13" s="681">
        <v>104193</v>
      </c>
      <c r="R13" s="681"/>
      <c r="S13" s="681"/>
      <c r="T13" s="681"/>
      <c r="U13" s="681">
        <v>1039408</v>
      </c>
      <c r="V13" s="681">
        <v>50491.99</v>
      </c>
      <c r="W13" s="681">
        <v>19388</v>
      </c>
      <c r="X13" s="681">
        <v>20319</v>
      </c>
      <c r="Y13" s="682">
        <f t="shared" si="0"/>
        <v>3684859.99</v>
      </c>
      <c r="Z13" s="681">
        <v>401433.3</v>
      </c>
      <c r="AA13" s="682">
        <f t="shared" si="1"/>
        <v>4086293.29</v>
      </c>
    </row>
    <row r="14" spans="1:27" s="1063" customFormat="1" ht="14.25" thickBot="1" x14ac:dyDescent="0.3">
      <c r="A14" s="1155" t="s">
        <v>54</v>
      </c>
      <c r="B14" s="1156">
        <f t="shared" ref="B14:Z14" si="2">SUM(B4:B13)</f>
        <v>60082</v>
      </c>
      <c r="C14" s="1157">
        <f t="shared" si="2"/>
        <v>135593</v>
      </c>
      <c r="D14" s="1157">
        <f t="shared" si="2"/>
        <v>0</v>
      </c>
      <c r="E14" s="1157">
        <f t="shared" si="2"/>
        <v>1037609</v>
      </c>
      <c r="F14" s="1157">
        <f t="shared" si="2"/>
        <v>21201</v>
      </c>
      <c r="G14" s="1157">
        <f t="shared" si="2"/>
        <v>34037</v>
      </c>
      <c r="H14" s="1157">
        <f t="shared" si="2"/>
        <v>83292</v>
      </c>
      <c r="I14" s="1157">
        <f t="shared" si="2"/>
        <v>171391</v>
      </c>
      <c r="J14" s="1157">
        <f t="shared" si="2"/>
        <v>0</v>
      </c>
      <c r="K14" s="1158">
        <f t="shared" si="2"/>
        <v>10000</v>
      </c>
      <c r="L14" s="1155">
        <f t="shared" si="2"/>
        <v>1328517</v>
      </c>
      <c r="M14" s="1156">
        <f t="shared" si="2"/>
        <v>758646</v>
      </c>
      <c r="N14" s="1157">
        <f>SUM(N4:N13)</f>
        <v>22895</v>
      </c>
      <c r="O14" s="1157">
        <f t="shared" si="2"/>
        <v>28000</v>
      </c>
      <c r="P14" s="1157">
        <f t="shared" si="2"/>
        <v>387892</v>
      </c>
      <c r="Q14" s="1157">
        <f t="shared" si="2"/>
        <v>127595</v>
      </c>
      <c r="R14" s="1157">
        <f t="shared" si="2"/>
        <v>432</v>
      </c>
      <c r="S14" s="1157">
        <f t="shared" si="2"/>
        <v>30316</v>
      </c>
      <c r="T14" s="1157">
        <f t="shared" si="2"/>
        <v>0</v>
      </c>
      <c r="U14" s="1157">
        <f t="shared" si="2"/>
        <v>1041807</v>
      </c>
      <c r="V14" s="1157">
        <f t="shared" si="2"/>
        <v>50863.49</v>
      </c>
      <c r="W14" s="1157">
        <f t="shared" si="2"/>
        <v>47498</v>
      </c>
      <c r="X14" s="1157">
        <f t="shared" si="2"/>
        <v>31065</v>
      </c>
      <c r="Y14" s="1155">
        <f t="shared" si="0"/>
        <v>5408731.4900000002</v>
      </c>
      <c r="Z14" s="1157">
        <f t="shared" si="2"/>
        <v>404304.56</v>
      </c>
      <c r="AA14" s="1155">
        <f t="shared" si="1"/>
        <v>5813036.0499999998</v>
      </c>
    </row>
  </sheetData>
  <mergeCells count="2">
    <mergeCell ref="A2:A3"/>
    <mergeCell ref="A1:AA1"/>
  </mergeCells>
  <phoneticPr fontId="15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A8"/>
  <sheetViews>
    <sheetView workbookViewId="0">
      <pane xSplit="1" topLeftCell="W1" activePane="topRight" state="frozen"/>
      <selection pane="topRight" activeCell="A2" sqref="A2:A3"/>
    </sheetView>
  </sheetViews>
  <sheetFormatPr defaultRowHeight="16.5" x14ac:dyDescent="0.3"/>
  <cols>
    <col min="1" max="1" width="50" style="95" bestFit="1" customWidth="1"/>
    <col min="2" max="4" width="10.42578125" style="95" bestFit="1" customWidth="1"/>
    <col min="5" max="5" width="10.42578125" style="95" customWidth="1"/>
    <col min="6" max="13" width="10.42578125" style="95" bestFit="1" customWidth="1"/>
    <col min="14" max="14" width="10.42578125" style="95" customWidth="1"/>
    <col min="15" max="15" width="10.42578125" style="95" bestFit="1" customWidth="1"/>
    <col min="16" max="17" width="10.42578125" style="95" customWidth="1"/>
    <col min="18" max="18" width="11" style="95" bestFit="1" customWidth="1"/>
    <col min="19" max="24" width="10.42578125" style="95" bestFit="1" customWidth="1"/>
    <col min="25" max="25" width="10.85546875" style="95" bestFit="1" customWidth="1"/>
    <col min="26" max="26" width="10.42578125" style="95" customWidth="1"/>
    <col min="27" max="27" width="10.42578125" style="95" bestFit="1" customWidth="1"/>
    <col min="28" max="16384" width="9.140625" style="95"/>
  </cols>
  <sheetData>
    <row r="1" spans="1:27" s="412" customFormat="1" ht="17.25" thickBot="1" x14ac:dyDescent="0.4">
      <c r="A1" s="413" t="s">
        <v>443</v>
      </c>
    </row>
    <row r="2" spans="1:27" ht="129" thickBot="1" x14ac:dyDescent="0.35">
      <c r="A2" s="1374" t="s">
        <v>0</v>
      </c>
      <c r="B2" s="530" t="s">
        <v>158</v>
      </c>
      <c r="C2" s="593" t="s">
        <v>159</v>
      </c>
      <c r="D2" s="593" t="s">
        <v>160</v>
      </c>
      <c r="E2" s="593" t="s">
        <v>161</v>
      </c>
      <c r="F2" s="593" t="s">
        <v>162</v>
      </c>
      <c r="G2" s="593" t="s">
        <v>163</v>
      </c>
      <c r="H2" s="593" t="s">
        <v>312</v>
      </c>
      <c r="I2" s="593" t="s">
        <v>164</v>
      </c>
      <c r="J2" s="593" t="s">
        <v>165</v>
      </c>
      <c r="K2" s="593" t="s">
        <v>166</v>
      </c>
      <c r="L2" s="593" t="s">
        <v>167</v>
      </c>
      <c r="M2" s="593" t="s">
        <v>168</v>
      </c>
      <c r="N2" s="593" t="s">
        <v>383</v>
      </c>
      <c r="O2" s="593" t="s">
        <v>169</v>
      </c>
      <c r="P2" s="593" t="s">
        <v>170</v>
      </c>
      <c r="Q2" s="593" t="s">
        <v>171</v>
      </c>
      <c r="R2" s="593" t="s">
        <v>172</v>
      </c>
      <c r="S2" s="593" t="s">
        <v>173</v>
      </c>
      <c r="T2" s="593" t="s">
        <v>174</v>
      </c>
      <c r="U2" s="593" t="s">
        <v>175</v>
      </c>
      <c r="V2" s="593" t="s">
        <v>176</v>
      </c>
      <c r="W2" s="593" t="s">
        <v>177</v>
      </c>
      <c r="X2" s="593" t="s">
        <v>178</v>
      </c>
      <c r="Y2" s="593" t="s">
        <v>1</v>
      </c>
      <c r="Z2" s="593" t="s">
        <v>179</v>
      </c>
      <c r="AA2" s="593" t="s">
        <v>2</v>
      </c>
    </row>
    <row r="3" spans="1:27" s="452" customFormat="1" ht="31.5" customHeight="1" thickBot="1" x14ac:dyDescent="0.35">
      <c r="A3" s="1375"/>
      <c r="B3" s="531" t="s">
        <v>432</v>
      </c>
      <c r="C3" s="531" t="s">
        <v>432</v>
      </c>
      <c r="D3" s="531" t="s">
        <v>432</v>
      </c>
      <c r="E3" s="531" t="s">
        <v>432</v>
      </c>
      <c r="F3" s="531" t="s">
        <v>432</v>
      </c>
      <c r="G3" s="531" t="s">
        <v>432</v>
      </c>
      <c r="H3" s="531" t="s">
        <v>432</v>
      </c>
      <c r="I3" s="531" t="s">
        <v>432</v>
      </c>
      <c r="J3" s="531" t="s">
        <v>432</v>
      </c>
      <c r="K3" s="531" t="s">
        <v>432</v>
      </c>
      <c r="L3" s="531" t="s">
        <v>432</v>
      </c>
      <c r="M3" s="531" t="s">
        <v>432</v>
      </c>
      <c r="N3" s="531" t="s">
        <v>432</v>
      </c>
      <c r="O3" s="531" t="s">
        <v>432</v>
      </c>
      <c r="P3" s="531" t="s">
        <v>432</v>
      </c>
      <c r="Q3" s="531" t="s">
        <v>432</v>
      </c>
      <c r="R3" s="531" t="s">
        <v>432</v>
      </c>
      <c r="S3" s="531" t="s">
        <v>432</v>
      </c>
      <c r="T3" s="531" t="s">
        <v>432</v>
      </c>
      <c r="U3" s="531" t="s">
        <v>432</v>
      </c>
      <c r="V3" s="531" t="s">
        <v>432</v>
      </c>
      <c r="W3" s="531" t="s">
        <v>432</v>
      </c>
      <c r="X3" s="531" t="s">
        <v>432</v>
      </c>
      <c r="Y3" s="531" t="s">
        <v>432</v>
      </c>
      <c r="Z3" s="531" t="s">
        <v>432</v>
      </c>
      <c r="AA3" s="531" t="s">
        <v>432</v>
      </c>
    </row>
    <row r="4" spans="1:27" ht="18" x14ac:dyDescent="0.35">
      <c r="A4" s="278" t="s">
        <v>286</v>
      </c>
      <c r="B4" s="833">
        <v>50000</v>
      </c>
      <c r="C4" s="403">
        <v>7000</v>
      </c>
      <c r="D4" s="403" t="s">
        <v>295</v>
      </c>
      <c r="E4" s="833" t="s">
        <v>295</v>
      </c>
      <c r="F4" s="403">
        <v>6000</v>
      </c>
      <c r="G4" s="1290" t="s">
        <v>295</v>
      </c>
      <c r="H4" s="833" t="s">
        <v>295</v>
      </c>
      <c r="I4" s="1291" t="s">
        <v>295</v>
      </c>
      <c r="J4" s="403" t="s">
        <v>295</v>
      </c>
      <c r="K4" s="403">
        <v>3000</v>
      </c>
      <c r="L4" s="403">
        <v>60000</v>
      </c>
      <c r="M4" s="833">
        <v>120000</v>
      </c>
      <c r="N4" s="833"/>
      <c r="O4" s="403">
        <v>22500</v>
      </c>
      <c r="P4" s="403" t="s">
        <v>295</v>
      </c>
      <c r="Q4" s="833">
        <v>49600</v>
      </c>
      <c r="R4" s="403">
        <v>40000</v>
      </c>
      <c r="S4" s="403" t="s">
        <v>295</v>
      </c>
      <c r="T4" s="403"/>
      <c r="U4" s="833" t="s">
        <v>295</v>
      </c>
      <c r="V4" s="833" t="s">
        <v>295</v>
      </c>
      <c r="W4" s="834">
        <v>12500</v>
      </c>
      <c r="X4" s="835">
        <v>48800</v>
      </c>
      <c r="Y4" s="403">
        <f>SUM(B4:X4)</f>
        <v>419400</v>
      </c>
      <c r="Z4" s="407">
        <v>0</v>
      </c>
      <c r="AA4" s="409">
        <f>SUM(Y4+Z4)</f>
        <v>419400</v>
      </c>
    </row>
    <row r="5" spans="1:27" x14ac:dyDescent="0.3">
      <c r="A5" s="279" t="s">
        <v>287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11"/>
      <c r="X5" s="405"/>
      <c r="Y5" s="404"/>
      <c r="Z5" s="408"/>
      <c r="AA5" s="410"/>
    </row>
    <row r="6" spans="1:27" x14ac:dyDescent="0.3">
      <c r="A6" s="279" t="s">
        <v>288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404"/>
      <c r="O6" s="404"/>
      <c r="P6" s="404"/>
      <c r="Q6" s="404"/>
      <c r="R6" s="404"/>
      <c r="S6" s="404"/>
      <c r="T6" s="404"/>
      <c r="U6" s="404"/>
      <c r="V6" s="404"/>
      <c r="W6" s="411"/>
      <c r="X6" s="405"/>
      <c r="Y6" s="404"/>
      <c r="Z6" s="408"/>
      <c r="AA6" s="410"/>
    </row>
    <row r="7" spans="1:27" x14ac:dyDescent="0.3">
      <c r="A7" s="279" t="s">
        <v>73</v>
      </c>
      <c r="B7" s="404"/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  <c r="V7" s="404"/>
      <c r="W7" s="411"/>
      <c r="X7" s="405"/>
      <c r="Y7" s="404"/>
      <c r="Z7" s="408"/>
      <c r="AA7" s="410"/>
    </row>
    <row r="8" spans="1:27" s="1162" customFormat="1" ht="14.25" thickBot="1" x14ac:dyDescent="0.3">
      <c r="A8" s="1155" t="s">
        <v>54</v>
      </c>
      <c r="B8" s="1159">
        <f>SUM(B4:B7)</f>
        <v>50000</v>
      </c>
      <c r="C8" s="1159">
        <f>SUM(C4:C7)</f>
        <v>7000</v>
      </c>
      <c r="D8" s="1159">
        <f t="shared" ref="D8:M8" si="0">SUM(D4:D7)</f>
        <v>0</v>
      </c>
      <c r="E8" s="1159">
        <f t="shared" si="0"/>
        <v>0</v>
      </c>
      <c r="F8" s="1159">
        <f t="shared" si="0"/>
        <v>6000</v>
      </c>
      <c r="G8" s="1159">
        <f t="shared" si="0"/>
        <v>0</v>
      </c>
      <c r="H8" s="1159">
        <f t="shared" si="0"/>
        <v>0</v>
      </c>
      <c r="I8" s="1159">
        <f t="shared" si="0"/>
        <v>0</v>
      </c>
      <c r="J8" s="1159">
        <f t="shared" si="0"/>
        <v>0</v>
      </c>
      <c r="K8" s="1159">
        <f t="shared" si="0"/>
        <v>3000</v>
      </c>
      <c r="L8" s="1159">
        <f t="shared" si="0"/>
        <v>60000</v>
      </c>
      <c r="M8" s="1159">
        <f t="shared" si="0"/>
        <v>120000</v>
      </c>
      <c r="N8" s="1159">
        <f t="shared" ref="N8:X8" si="1">SUM(N4:N7)</f>
        <v>0</v>
      </c>
      <c r="O8" s="1159">
        <f t="shared" si="1"/>
        <v>22500</v>
      </c>
      <c r="P8" s="1159">
        <f t="shared" si="1"/>
        <v>0</v>
      </c>
      <c r="Q8" s="1159">
        <f t="shared" si="1"/>
        <v>49600</v>
      </c>
      <c r="R8" s="1159">
        <f t="shared" si="1"/>
        <v>40000</v>
      </c>
      <c r="S8" s="1159">
        <f t="shared" si="1"/>
        <v>0</v>
      </c>
      <c r="T8" s="1159">
        <f t="shared" si="1"/>
        <v>0</v>
      </c>
      <c r="U8" s="1159">
        <f t="shared" si="1"/>
        <v>0</v>
      </c>
      <c r="V8" s="1159">
        <f t="shared" si="1"/>
        <v>0</v>
      </c>
      <c r="W8" s="1159">
        <f t="shared" si="1"/>
        <v>12500</v>
      </c>
      <c r="X8" s="1159">
        <f t="shared" si="1"/>
        <v>48800</v>
      </c>
      <c r="Y8" s="1159">
        <f>SUM(B8:X8)</f>
        <v>419400</v>
      </c>
      <c r="Z8" s="1160">
        <v>0</v>
      </c>
      <c r="AA8" s="1161">
        <f>SUM(Y8+Z8)</f>
        <v>419400</v>
      </c>
    </row>
  </sheetData>
  <mergeCells count="1">
    <mergeCell ref="A2:A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L1</vt:lpstr>
      <vt:lpstr>L2</vt:lpstr>
      <vt:lpstr>L3</vt:lpstr>
      <vt:lpstr>L4</vt:lpstr>
      <vt:lpstr>L5</vt:lpstr>
      <vt:lpstr>L6</vt:lpstr>
      <vt:lpstr>L7</vt:lpstr>
      <vt:lpstr>L10</vt:lpstr>
      <vt:lpstr>L11</vt:lpstr>
      <vt:lpstr>L15</vt:lpstr>
      <vt:lpstr>L17</vt:lpstr>
      <vt:lpstr>L22 Persistency Ratio</vt:lpstr>
      <vt:lpstr>L32</vt:lpstr>
      <vt:lpstr>L37FPI</vt:lpstr>
      <vt:lpstr>L37Lives</vt:lpstr>
      <vt:lpstr>L38 FPI</vt:lpstr>
      <vt:lpstr>L38 NOP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Pande Sandeep</dc:creator>
  <cp:lastModifiedBy>Pande Sandeep</cp:lastModifiedBy>
  <cp:lastPrinted>2021-06-25T18:12:07Z</cp:lastPrinted>
  <dcterms:created xsi:type="dcterms:W3CDTF">2019-02-21T06:27:16Z</dcterms:created>
  <dcterms:modified xsi:type="dcterms:W3CDTF">2022-09-14T05:30:07Z</dcterms:modified>
</cp:coreProperties>
</file>